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24226"/>
  <mc:AlternateContent xmlns:mc="http://schemas.openxmlformats.org/markup-compatibility/2006">
    <mc:Choice Requires="x15">
      <x15ac:absPath xmlns:x15ac="http://schemas.microsoft.com/office/spreadsheetml/2010/11/ac" url="https://icedd.sharepoint.com/sites/PFAC-BI/Bibliothque/03 - Outils audit/Audit ICEDD Wallonie/Outil d'audit SRLT/"/>
    </mc:Choice>
  </mc:AlternateContent>
  <xr:revisionPtr revIDLastSave="35" documentId="8_{081D2854-FFFD-41A4-8FDB-9932317A78B8}" xr6:coauthVersionLast="47" xr6:coauthVersionMax="47" xr10:uidLastSave="{80704784-8778-489E-BC8A-CEE5496DEAF0}"/>
  <bookViews>
    <workbookView xWindow="-110" yWindow="-110" windowWidth="19420" windowHeight="10300" activeTab="3" xr2:uid="{00000000-000D-0000-FFFF-FFFF00000000}"/>
  </bookViews>
  <sheets>
    <sheet name="Mode d'emploi" sheetId="13" r:id="rId1"/>
    <sheet name="Situation initiale" sheetId="1" r:id="rId2"/>
    <sheet name="Situation rénovée" sheetId="12" r:id="rId3"/>
    <sheet name="U_sol" sheetId="14" r:id="rId4"/>
    <sheet name="Calculs_U_sol" sheetId="15" r:id="rId5"/>
    <sheet name="Données" sheetId="7" r:id="rId6"/>
    <sheet name="Parois types" sheetId="2" r:id="rId7"/>
    <sheet name="Liste des communes" sheetId="3" r:id="rId8"/>
    <sheet name="Màj" sheetId="16" r:id="rId9"/>
  </sheets>
  <definedNames>
    <definedName name="conso_init">'Situation initiale'!$D$244</definedName>
    <definedName name="conso_reel">#REF!</definedName>
    <definedName name="conso_reno">'Situation rénovée'!$D$226</definedName>
    <definedName name="cout_elec">'Situation initiale'!$D$17</definedName>
    <definedName name="cout_vect">'Situation initiale'!$D$26</definedName>
    <definedName name="cout_vect_init">'Situation initiale'!$D$26</definedName>
    <definedName name="cout_vect_reno">'Situation rénovée'!$D$8</definedName>
    <definedName name="deperd_init">'Situation initiale'!$D$233</definedName>
    <definedName name="deperd_reel">#REF!</definedName>
    <definedName name="deperd_reno">'Situation rénovée'!$D$215</definedName>
    <definedName name="duree_chauf">'Situation initiale'!$D$136</definedName>
    <definedName name="pertes_chau_init">'Situation initiale'!$D$242</definedName>
    <definedName name="pertes_chau_reel">#REF!</definedName>
    <definedName name="pertes_chau_reno">'Situation rénovée'!$D$224</definedName>
    <definedName name="reduc_vitre">Données!$B$16</definedName>
    <definedName name="Temp_ext">'Situation initiale'!$D$135</definedName>
    <definedName name="Temp_SI">'Situation initiale'!$D$184</definedName>
    <definedName name="Temp_SI_ext">'Situation initiale'!$D$135</definedName>
    <definedName name="Temp_SR">'Situation rénovée'!$D$132</definedName>
    <definedName name="_xlnm.Print_Area" localSheetId="1">'Situation initiale'!$B$35:$I$270</definedName>
    <definedName name="_xlnm.Print_Area" localSheetId="2">'Situation rénovée'!$B$11:$K$312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7" i="12" l="1"/>
  <c r="G59" i="12"/>
  <c r="G15" i="12"/>
  <c r="D132" i="1"/>
  <c r="P36" i="7"/>
  <c r="P37" i="7"/>
  <c r="P35" i="7"/>
  <c r="R53" i="7"/>
  <c r="R52" i="7"/>
  <c r="R51" i="7"/>
  <c r="D7" i="12"/>
  <c r="G162" i="1"/>
  <c r="D150" i="1"/>
  <c r="F42" i="7" l="1"/>
  <c r="F41" i="7"/>
  <c r="E20" i="1" s="1"/>
  <c r="P38" i="7"/>
  <c r="O39" i="7"/>
  <c r="I34" i="7" l="1"/>
  <c r="K37" i="7"/>
  <c r="M37" i="7" s="1"/>
  <c r="K36" i="7"/>
  <c r="M36" i="7" s="1"/>
  <c r="K35" i="7"/>
  <c r="M35" i="7" s="1"/>
  <c r="K38" i="7"/>
  <c r="M38" i="7" s="1"/>
  <c r="L105" i="1"/>
  <c r="L107" i="1"/>
  <c r="L109" i="1"/>
  <c r="L111" i="1"/>
  <c r="L103" i="1"/>
  <c r="L101" i="1"/>
  <c r="L91" i="1"/>
  <c r="L81" i="1"/>
  <c r="L77" i="1"/>
  <c r="L37" i="1"/>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I15" i="12"/>
  <c r="I16" i="12"/>
  <c r="I17" i="12"/>
  <c r="I18" i="12"/>
  <c r="I19" i="12"/>
  <c r="I20" i="12"/>
  <c r="I21" i="12"/>
  <c r="I22" i="12"/>
  <c r="I23" i="12"/>
  <c r="I24" i="12"/>
  <c r="I25" i="12"/>
  <c r="J15"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6" i="12"/>
  <c r="G17" i="12"/>
  <c r="G18" i="12"/>
  <c r="G19" i="12"/>
  <c r="G20" i="12"/>
  <c r="G21" i="12"/>
  <c r="G22" i="12"/>
  <c r="G23" i="12"/>
  <c r="G24" i="12"/>
  <c r="G25" i="12"/>
  <c r="G26" i="12"/>
  <c r="G27" i="12"/>
  <c r="G28" i="12"/>
  <c r="G29" i="12"/>
  <c r="G30" i="12"/>
  <c r="G31" i="12"/>
  <c r="G32" i="12"/>
  <c r="G33" i="12"/>
  <c r="G34" i="12"/>
  <c r="G35" i="12"/>
  <c r="G36" i="12"/>
  <c r="G37" i="12"/>
  <c r="G38" i="12"/>
  <c r="G39" i="12"/>
  <c r="G40" i="12"/>
  <c r="G41" i="12"/>
  <c r="G42" i="12"/>
  <c r="G43" i="12"/>
  <c r="G44" i="12"/>
  <c r="G45" i="12"/>
  <c r="G46" i="12"/>
  <c r="G47" i="12"/>
  <c r="G48" i="12"/>
  <c r="G49" i="12"/>
  <c r="G50" i="12"/>
  <c r="G51" i="12"/>
  <c r="G52" i="12"/>
  <c r="G53" i="12"/>
  <c r="G54" i="12"/>
  <c r="G55" i="12"/>
  <c r="G56" i="12"/>
  <c r="G57" i="12"/>
  <c r="G149" i="12"/>
  <c r="G148" i="12"/>
  <c r="G168" i="1"/>
  <c r="G169" i="1" s="1"/>
  <c r="P124" i="12"/>
  <c r="G8" i="3"/>
  <c r="L80" i="1" l="1"/>
  <c r="I228" i="1"/>
  <c r="R274" i="1" s="1"/>
  <c r="I227" i="1"/>
  <c r="Q274" i="1" s="1"/>
  <c r="I230" i="1"/>
  <c r="T274" i="1" s="1"/>
  <c r="L113" i="1"/>
  <c r="G4" i="3"/>
  <c r="G3" i="3"/>
  <c r="B98" i="7"/>
  <c r="B99" i="7"/>
  <c r="B100" i="7"/>
  <c r="B101" i="7"/>
  <c r="B97" i="7"/>
  <c r="D169" i="12"/>
  <c r="F289" i="1"/>
  <c r="E289" i="1"/>
  <c r="D289" i="1"/>
  <c r="C291" i="1"/>
  <c r="C290" i="1"/>
  <c r="D16" i="1"/>
  <c r="I229" i="1" l="1"/>
  <c r="L114" i="1"/>
  <c r="I233" i="1"/>
  <c r="S274" i="1"/>
  <c r="B66" i="7"/>
  <c r="B67" i="7"/>
  <c r="B68" i="7"/>
  <c r="B69" i="7"/>
  <c r="B70" i="7"/>
  <c r="B71" i="7"/>
  <c r="B72" i="7"/>
  <c r="B73" i="7"/>
  <c r="B65" i="7"/>
  <c r="D195" i="12"/>
  <c r="D335" i="12"/>
  <c r="D2" i="15" l="1"/>
  <c r="D5" i="15"/>
  <c r="I54" i="14"/>
  <c r="D3" i="15" s="1"/>
  <c r="C57" i="14"/>
  <c r="D4" i="15" l="1"/>
  <c r="D8" i="15"/>
  <c r="D7" i="15"/>
  <c r="D10" i="15" s="1"/>
  <c r="I55" i="14" s="1"/>
  <c r="F161" i="12" l="1"/>
  <c r="F160" i="12"/>
  <c r="F165" i="1"/>
  <c r="F164" i="1"/>
  <c r="D9" i="12"/>
  <c r="D162" i="1" l="1"/>
  <c r="D168" i="1" s="1"/>
  <c r="D169" i="1" s="1"/>
  <c r="D104" i="12"/>
  <c r="D138" i="12" s="1"/>
  <c r="K15" i="12"/>
  <c r="Q15" i="12" s="1"/>
  <c r="D199" i="12"/>
  <c r="D197" i="12"/>
  <c r="D121"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39" i="1"/>
  <c r="P40" i="1"/>
  <c r="P41" i="1"/>
  <c r="P42" i="1"/>
  <c r="P43" i="1"/>
  <c r="P44" i="1"/>
  <c r="P45" i="1"/>
  <c r="P46" i="1"/>
  <c r="P37" i="1"/>
  <c r="P38" i="1"/>
  <c r="D218" i="1"/>
  <c r="D216" i="1"/>
  <c r="D214" i="1"/>
  <c r="D191" i="1"/>
  <c r="D134" i="1"/>
  <c r="D135" i="1" s="1"/>
  <c r="D133" i="1"/>
  <c r="D121" i="12" s="1"/>
  <c r="D130" i="12"/>
  <c r="S83" i="12"/>
  <c r="S69" i="12"/>
  <c r="S70" i="12"/>
  <c r="S59" i="12"/>
  <c r="S60" i="12"/>
  <c r="S15" i="12"/>
  <c r="S16" i="12"/>
  <c r="S17" i="12"/>
  <c r="S18" i="12"/>
  <c r="S19" i="12"/>
  <c r="S20" i="12"/>
  <c r="S21" i="12"/>
  <c r="S23" i="12"/>
  <c r="T23" i="12" s="1"/>
  <c r="S24" i="12"/>
  <c r="S25" i="12"/>
  <c r="U25" i="12" s="1"/>
  <c r="V25" i="12" s="1"/>
  <c r="S26" i="12"/>
  <c r="S27" i="12"/>
  <c r="U27" i="12" s="1"/>
  <c r="V27" i="12" s="1"/>
  <c r="S29" i="12"/>
  <c r="U29" i="12" s="1"/>
  <c r="V29" i="12" s="1"/>
  <c r="S33" i="12"/>
  <c r="U33" i="12" s="1"/>
  <c r="V33" i="12" s="1"/>
  <c r="S34" i="12"/>
  <c r="U34" i="12" s="1"/>
  <c r="V34" i="12" s="1"/>
  <c r="S35" i="12"/>
  <c r="S36" i="12"/>
  <c r="S37" i="12"/>
  <c r="T37" i="12" s="1"/>
  <c r="S39" i="12"/>
  <c r="S41" i="12"/>
  <c r="S42" i="12"/>
  <c r="S43" i="12"/>
  <c r="S45" i="12"/>
  <c r="S46" i="12"/>
  <c r="S48" i="12"/>
  <c r="U48" i="12" s="1"/>
  <c r="V48" i="12" s="1"/>
  <c r="S49" i="12"/>
  <c r="U49" i="12" s="1"/>
  <c r="V49" i="12" s="1"/>
  <c r="S50" i="12"/>
  <c r="S52" i="12"/>
  <c r="S53" i="12"/>
  <c r="T53" i="12" s="1"/>
  <c r="S54" i="12"/>
  <c r="U54" i="12" s="1"/>
  <c r="V54" i="12" s="1"/>
  <c r="S55" i="12"/>
  <c r="S56" i="12"/>
  <c r="S57" i="12"/>
  <c r="D183" i="1"/>
  <c r="D15" i="12"/>
  <c r="D16" i="12"/>
  <c r="D17" i="12"/>
  <c r="D18" i="12"/>
  <c r="D19" i="12"/>
  <c r="D20" i="12"/>
  <c r="J94" i="1"/>
  <c r="J93" i="1"/>
  <c r="J92" i="1"/>
  <c r="D192" i="1"/>
  <c r="D193" i="1" s="1"/>
  <c r="J91" i="1"/>
  <c r="J95" i="1"/>
  <c r="J96" i="1"/>
  <c r="J97" i="1"/>
  <c r="J98" i="1"/>
  <c r="J99" i="1"/>
  <c r="J100" i="1"/>
  <c r="J81" i="1"/>
  <c r="J82" i="1"/>
  <c r="J83" i="1"/>
  <c r="J84" i="1"/>
  <c r="J85" i="1"/>
  <c r="J86" i="1"/>
  <c r="J87" i="1"/>
  <c r="J88" i="1"/>
  <c r="J89" i="1"/>
  <c r="J90" i="1"/>
  <c r="M109" i="1"/>
  <c r="J110" i="1"/>
  <c r="J109" i="1"/>
  <c r="J112" i="1"/>
  <c r="J111"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9" i="1"/>
  <c r="J77" i="1"/>
  <c r="J78" i="1"/>
  <c r="J102" i="1"/>
  <c r="J101" i="1"/>
  <c r="J104" i="1"/>
  <c r="J103" i="1"/>
  <c r="M105" i="1"/>
  <c r="J106" i="1"/>
  <c r="J108" i="1"/>
  <c r="J107" i="1"/>
  <c r="D142" i="1"/>
  <c r="F80" i="1"/>
  <c r="D151" i="1"/>
  <c r="H69" i="12"/>
  <c r="S72" i="12"/>
  <c r="T72" i="12" s="1"/>
  <c r="H72" i="12"/>
  <c r="F72" i="12" s="1"/>
  <c r="S73" i="12"/>
  <c r="U73" i="12" s="1"/>
  <c r="V73" i="12" s="1"/>
  <c r="H73" i="12"/>
  <c r="S74" i="12"/>
  <c r="U74" i="12" s="1"/>
  <c r="V74" i="12" s="1"/>
  <c r="H74" i="12"/>
  <c r="H75" i="12"/>
  <c r="F75" i="12" s="1"/>
  <c r="H76" i="12"/>
  <c r="F76" i="12" s="1"/>
  <c r="S77" i="12"/>
  <c r="H77" i="12"/>
  <c r="H78" i="12"/>
  <c r="F78" i="12" s="1"/>
  <c r="D129" i="12"/>
  <c r="H59" i="12"/>
  <c r="H60" i="12"/>
  <c r="S61" i="12"/>
  <c r="H61" i="12"/>
  <c r="F61" i="12" s="1"/>
  <c r="S62" i="12"/>
  <c r="H62" i="12"/>
  <c r="F62" i="12" s="1"/>
  <c r="S63" i="12"/>
  <c r="H63" i="12"/>
  <c r="F63" i="12" s="1"/>
  <c r="S64" i="12"/>
  <c r="H64" i="12"/>
  <c r="F64" i="12" s="1"/>
  <c r="H65" i="12"/>
  <c r="F65" i="12" s="1"/>
  <c r="S66" i="12"/>
  <c r="H66" i="12"/>
  <c r="F66" i="12" s="1"/>
  <c r="S67" i="12"/>
  <c r="H67" i="12"/>
  <c r="F67" i="12" s="1"/>
  <c r="S68" i="12"/>
  <c r="U68" i="12" s="1"/>
  <c r="V68" i="12" s="1"/>
  <c r="H68" i="12"/>
  <c r="F68" i="12" s="1"/>
  <c r="N87" i="12"/>
  <c r="S88" i="12"/>
  <c r="T88" i="12" s="1"/>
  <c r="H88" i="12"/>
  <c r="F88" i="12" s="1"/>
  <c r="H87" i="12"/>
  <c r="F87" i="12" s="1"/>
  <c r="S90" i="12"/>
  <c r="H90" i="12"/>
  <c r="F90" i="12" s="1"/>
  <c r="S89" i="12"/>
  <c r="T89" i="12" s="1"/>
  <c r="H89" i="12"/>
  <c r="F89" i="12" s="1"/>
  <c r="H15" i="12"/>
  <c r="L15" i="12" s="1"/>
  <c r="H16" i="12"/>
  <c r="F16" i="12" s="1"/>
  <c r="H17" i="12"/>
  <c r="F17" i="12" s="1"/>
  <c r="H18" i="12"/>
  <c r="H19" i="12"/>
  <c r="F19" i="12" s="1"/>
  <c r="H20" i="12"/>
  <c r="H21" i="12"/>
  <c r="F21" i="12" s="1"/>
  <c r="H22" i="12"/>
  <c r="F22" i="12" s="1"/>
  <c r="H23" i="12"/>
  <c r="F23" i="12" s="1"/>
  <c r="H24" i="12"/>
  <c r="F24" i="12" s="1"/>
  <c r="H25" i="12"/>
  <c r="F25" i="12" s="1"/>
  <c r="H26" i="12"/>
  <c r="F26" i="12" s="1"/>
  <c r="H27" i="12"/>
  <c r="F27" i="12" s="1"/>
  <c r="H28" i="12"/>
  <c r="F28" i="12" s="1"/>
  <c r="H29" i="12"/>
  <c r="H30" i="12"/>
  <c r="F30" i="12" s="1"/>
  <c r="H31" i="12"/>
  <c r="F31" i="12" s="1"/>
  <c r="H32" i="12"/>
  <c r="F32" i="12" s="1"/>
  <c r="H33" i="12"/>
  <c r="H34" i="12"/>
  <c r="F34" i="12" s="1"/>
  <c r="H35" i="12"/>
  <c r="F35" i="12" s="1"/>
  <c r="H36" i="12"/>
  <c r="H37" i="12"/>
  <c r="H38" i="12"/>
  <c r="F38" i="12" s="1"/>
  <c r="H39" i="12"/>
  <c r="F39" i="12" s="1"/>
  <c r="H40" i="12"/>
  <c r="F40" i="12" s="1"/>
  <c r="H41" i="12"/>
  <c r="H42" i="12"/>
  <c r="F42" i="12" s="1"/>
  <c r="H43" i="12"/>
  <c r="F43" i="12" s="1"/>
  <c r="H44" i="12"/>
  <c r="F44" i="12" s="1"/>
  <c r="H45" i="12"/>
  <c r="H46" i="12"/>
  <c r="F46" i="12" s="1"/>
  <c r="H47" i="12"/>
  <c r="F47" i="12" s="1"/>
  <c r="H48" i="12"/>
  <c r="F48" i="12" s="1"/>
  <c r="H49" i="12"/>
  <c r="H50" i="12"/>
  <c r="F50" i="12" s="1"/>
  <c r="H51" i="12"/>
  <c r="F51" i="12" s="1"/>
  <c r="H52" i="12"/>
  <c r="F52" i="12" s="1"/>
  <c r="H53" i="12"/>
  <c r="F53" i="12" s="1"/>
  <c r="H54" i="12"/>
  <c r="F54" i="12" s="1"/>
  <c r="H57" i="12"/>
  <c r="F57" i="12" s="1"/>
  <c r="H55" i="12"/>
  <c r="F55" i="12" s="1"/>
  <c r="H56" i="12"/>
  <c r="F56" i="12" s="1"/>
  <c r="H80" i="12"/>
  <c r="F80" i="12" s="1"/>
  <c r="S79" i="12"/>
  <c r="H79" i="12"/>
  <c r="F79" i="12" s="1"/>
  <c r="H82" i="12"/>
  <c r="F82" i="12" s="1"/>
  <c r="S81" i="12"/>
  <c r="U81" i="12" s="1"/>
  <c r="V81" i="12" s="1"/>
  <c r="H81" i="12"/>
  <c r="N83" i="12"/>
  <c r="H84" i="12"/>
  <c r="F84" i="12" s="1"/>
  <c r="H86" i="12"/>
  <c r="F86" i="12" s="1"/>
  <c r="S85" i="12"/>
  <c r="H85" i="12"/>
  <c r="F85" i="12" s="1"/>
  <c r="F255" i="12"/>
  <c r="K16" i="12"/>
  <c r="Q16" i="12" s="1"/>
  <c r="K17" i="12"/>
  <c r="Q17" i="12" s="1"/>
  <c r="K18" i="12"/>
  <c r="Q18" i="12" s="1"/>
  <c r="K19" i="12"/>
  <c r="Q19" i="12" s="1"/>
  <c r="K20" i="12"/>
  <c r="Q20" i="12" s="1"/>
  <c r="K21" i="12"/>
  <c r="Q21" i="12" s="1"/>
  <c r="K22" i="12"/>
  <c r="Q22" i="12" s="1"/>
  <c r="K23" i="12"/>
  <c r="Q23" i="12" s="1"/>
  <c r="K24" i="12"/>
  <c r="Q24" i="12" s="1"/>
  <c r="K25" i="12"/>
  <c r="Q25" i="12" s="1"/>
  <c r="K26" i="12"/>
  <c r="Q26" i="12" s="1"/>
  <c r="K27" i="12"/>
  <c r="Q27" i="12" s="1"/>
  <c r="K28" i="12"/>
  <c r="Q28" i="12" s="1"/>
  <c r="K29" i="12"/>
  <c r="Q29" i="12" s="1"/>
  <c r="K30" i="12"/>
  <c r="Q30" i="12" s="1"/>
  <c r="K31" i="12"/>
  <c r="Q31" i="12" s="1"/>
  <c r="K32" i="12"/>
  <c r="Q32" i="12" s="1"/>
  <c r="K33" i="12"/>
  <c r="Q33" i="12" s="1"/>
  <c r="K34" i="12"/>
  <c r="Q34" i="12" s="1"/>
  <c r="K35" i="12"/>
  <c r="Q35" i="12" s="1"/>
  <c r="K36" i="12"/>
  <c r="Q36" i="12" s="1"/>
  <c r="K37" i="12"/>
  <c r="Q37" i="12" s="1"/>
  <c r="K38" i="12"/>
  <c r="Q38" i="12" s="1"/>
  <c r="K39" i="12"/>
  <c r="Q39" i="12" s="1"/>
  <c r="K40" i="12"/>
  <c r="Q40" i="12" s="1"/>
  <c r="K41" i="12"/>
  <c r="Q41" i="12" s="1"/>
  <c r="K42" i="12"/>
  <c r="Q42" i="12" s="1"/>
  <c r="K43" i="12"/>
  <c r="Q43" i="12" s="1"/>
  <c r="K44" i="12"/>
  <c r="Q44" i="12" s="1"/>
  <c r="K45" i="12"/>
  <c r="Q45" i="12" s="1"/>
  <c r="K46" i="12"/>
  <c r="Q46" i="12" s="1"/>
  <c r="K47" i="12"/>
  <c r="Q47" i="12" s="1"/>
  <c r="K48" i="12"/>
  <c r="Q48" i="12" s="1"/>
  <c r="K49" i="12"/>
  <c r="Q49" i="12" s="1"/>
  <c r="K50" i="12"/>
  <c r="Q50" i="12" s="1"/>
  <c r="K51" i="12"/>
  <c r="Q51" i="12" s="1"/>
  <c r="K52" i="12"/>
  <c r="Q52" i="12" s="1"/>
  <c r="K53" i="12"/>
  <c r="Q53" i="12" s="1"/>
  <c r="K54" i="12"/>
  <c r="Q54" i="12" s="1"/>
  <c r="G272" i="1"/>
  <c r="D201" i="12"/>
  <c r="D70" i="12"/>
  <c r="D71" i="12"/>
  <c r="D72" i="12"/>
  <c r="D73" i="12"/>
  <c r="D74" i="12"/>
  <c r="D75" i="12"/>
  <c r="D76" i="12"/>
  <c r="D77" i="12"/>
  <c r="D78" i="12"/>
  <c r="E26" i="1"/>
  <c r="E8" i="12"/>
  <c r="C54" i="7"/>
  <c r="I26" i="12"/>
  <c r="I27" i="12"/>
  <c r="I28" i="12"/>
  <c r="I29" i="12"/>
  <c r="I30" i="12"/>
  <c r="I31" i="12"/>
  <c r="I32" i="12"/>
  <c r="I33" i="12"/>
  <c r="I34" i="12"/>
  <c r="I35" i="12"/>
  <c r="I36" i="12"/>
  <c r="I37" i="12"/>
  <c r="I38" i="12"/>
  <c r="I39" i="12"/>
  <c r="I40" i="12"/>
  <c r="I41" i="12"/>
  <c r="I42" i="12"/>
  <c r="I43" i="12"/>
  <c r="I44" i="12"/>
  <c r="I45" i="12"/>
  <c r="I46" i="12"/>
  <c r="I47" i="12"/>
  <c r="I48" i="12"/>
  <c r="I49" i="12"/>
  <c r="I50" i="12"/>
  <c r="I51" i="12"/>
  <c r="I52" i="12"/>
  <c r="I53" i="12"/>
  <c r="I54" i="12"/>
  <c r="D21" i="12"/>
  <c r="D22" i="12"/>
  <c r="D23" i="12"/>
  <c r="D24" i="12"/>
  <c r="D25" i="12"/>
  <c r="D26" i="12"/>
  <c r="D27" i="12"/>
  <c r="D28" i="12"/>
  <c r="D29" i="12"/>
  <c r="D30" i="12"/>
  <c r="D31" i="12"/>
  <c r="D32" i="12"/>
  <c r="D33" i="12"/>
  <c r="D34" i="12"/>
  <c r="D35" i="12"/>
  <c r="D36" i="12"/>
  <c r="D37" i="12"/>
  <c r="D38" i="12"/>
  <c r="D39" i="12"/>
  <c r="D40" i="12"/>
  <c r="D41" i="12"/>
  <c r="D42" i="12"/>
  <c r="D43" i="12"/>
  <c r="D44" i="12"/>
  <c r="D45" i="12"/>
  <c r="D46" i="12"/>
  <c r="D47" i="12"/>
  <c r="D48" i="12"/>
  <c r="D49" i="12"/>
  <c r="D50" i="12"/>
  <c r="D51" i="12"/>
  <c r="D52" i="12"/>
  <c r="D53" i="12"/>
  <c r="D54" i="12"/>
  <c r="Q91" i="12"/>
  <c r="R91" i="12"/>
  <c r="H42" i="7"/>
  <c r="I42" i="7"/>
  <c r="M42" i="7"/>
  <c r="O42" i="7"/>
  <c r="G42" i="7"/>
  <c r="E7" i="12" s="1"/>
  <c r="C42" i="7"/>
  <c r="G41" i="7"/>
  <c r="E25" i="1" s="1"/>
  <c r="E23" i="1"/>
  <c r="P40" i="7"/>
  <c r="O41" i="7"/>
  <c r="C41" i="7"/>
  <c r="I41" i="7"/>
  <c r="M41" i="7"/>
  <c r="H41" i="7"/>
  <c r="A48" i="7"/>
  <c r="A47" i="7"/>
  <c r="A46" i="7"/>
  <c r="D55" i="12"/>
  <c r="D56" i="12"/>
  <c r="D57" i="12"/>
  <c r="D59" i="12"/>
  <c r="D60" i="12"/>
  <c r="D61" i="12"/>
  <c r="D62" i="12"/>
  <c r="D63" i="12"/>
  <c r="D64" i="12"/>
  <c r="D65" i="12"/>
  <c r="D66" i="12"/>
  <c r="D67" i="12"/>
  <c r="D68" i="12"/>
  <c r="D69" i="12"/>
  <c r="D79" i="12"/>
  <c r="D80" i="12"/>
  <c r="D81" i="12"/>
  <c r="D82" i="12"/>
  <c r="D83" i="12"/>
  <c r="D84" i="12"/>
  <c r="D85" i="12"/>
  <c r="D86" i="12"/>
  <c r="D87" i="12"/>
  <c r="D88" i="12"/>
  <c r="D89" i="12"/>
  <c r="D90" i="12"/>
  <c r="B16" i="7"/>
  <c r="O40" i="1" s="1"/>
  <c r="D176" i="12"/>
  <c r="D175" i="12"/>
  <c r="D157" i="12"/>
  <c r="G158" i="12" s="1"/>
  <c r="G164" i="12" s="1"/>
  <c r="G165" i="12" s="1"/>
  <c r="D153" i="12"/>
  <c r="E153" i="12"/>
  <c r="D154" i="12"/>
  <c r="E154" i="12"/>
  <c r="D155" i="12"/>
  <c r="E155" i="12"/>
  <c r="E152" i="12"/>
  <c r="D152" i="12"/>
  <c r="D146" i="12"/>
  <c r="D147" i="12" s="1"/>
  <c r="H255" i="12"/>
  <c r="G255" i="12"/>
  <c r="E255" i="12"/>
  <c r="D255" i="12"/>
  <c r="C255" i="12"/>
  <c r="B255" i="12"/>
  <c r="G275" i="1"/>
  <c r="F275" i="1"/>
  <c r="E275" i="1"/>
  <c r="H272" i="1"/>
  <c r="F272" i="1"/>
  <c r="E272" i="1"/>
  <c r="D272" i="1"/>
  <c r="C272" i="1"/>
  <c r="B272" i="1"/>
  <c r="A45" i="7"/>
  <c r="C50" i="7" s="1"/>
  <c r="K34" i="7"/>
  <c r="P34" i="7" s="1"/>
  <c r="J34" i="7"/>
  <c r="J33" i="7"/>
  <c r="K33" i="7" s="1"/>
  <c r="L33" i="7" s="1"/>
  <c r="J32" i="7"/>
  <c r="K32" i="7" s="1"/>
  <c r="L32" i="7" s="1"/>
  <c r="C31" i="2"/>
  <c r="C30" i="2"/>
  <c r="C29" i="2"/>
  <c r="C28" i="2"/>
  <c r="C27" i="2"/>
  <c r="C26" i="2"/>
  <c r="C25" i="2"/>
  <c r="K42" i="7" l="1"/>
  <c r="P32" i="7"/>
  <c r="P33" i="7"/>
  <c r="P41" i="7" s="1"/>
  <c r="J41" i="7"/>
  <c r="P42" i="7"/>
  <c r="J42" i="7"/>
  <c r="L34" i="7"/>
  <c r="D287" i="1"/>
  <c r="D283" i="1"/>
  <c r="D336" i="12"/>
  <c r="F376" i="12" s="1"/>
  <c r="C49" i="7"/>
  <c r="L60" i="12"/>
  <c r="B102" i="7"/>
  <c r="D102" i="12" s="1"/>
  <c r="C102" i="7"/>
  <c r="K41" i="7"/>
  <c r="D177" i="12"/>
  <c r="L59" i="12"/>
  <c r="P54" i="12"/>
  <c r="R54" i="12" s="1"/>
  <c r="P50" i="12"/>
  <c r="R50" i="12" s="1"/>
  <c r="P46" i="12"/>
  <c r="R46" i="12" s="1"/>
  <c r="P42" i="12"/>
  <c r="R42" i="12" s="1"/>
  <c r="P38" i="12"/>
  <c r="R38" i="12" s="1"/>
  <c r="P34" i="12"/>
  <c r="R34" i="12" s="1"/>
  <c r="P30" i="12"/>
  <c r="R30" i="12" s="1"/>
  <c r="P26" i="12"/>
  <c r="R26" i="12" s="1"/>
  <c r="P22" i="12"/>
  <c r="R22" i="12" s="1"/>
  <c r="P18" i="12"/>
  <c r="R18" i="12" s="1"/>
  <c r="O75" i="1"/>
  <c r="Q75" i="1" s="1"/>
  <c r="O71" i="1"/>
  <c r="Q71" i="1" s="1"/>
  <c r="O67" i="1"/>
  <c r="Q67" i="1" s="1"/>
  <c r="O63" i="1"/>
  <c r="Q63" i="1" s="1"/>
  <c r="O59" i="1"/>
  <c r="Q59" i="1" s="1"/>
  <c r="O55" i="1"/>
  <c r="Q55" i="1" s="1"/>
  <c r="O51" i="1"/>
  <c r="Q51" i="1" s="1"/>
  <c r="O47" i="1"/>
  <c r="Q47" i="1" s="1"/>
  <c r="O43" i="1"/>
  <c r="Q43" i="1" s="1"/>
  <c r="O39" i="1"/>
  <c r="Q39" i="1" s="1"/>
  <c r="P53" i="12"/>
  <c r="R53" i="12" s="1"/>
  <c r="P49" i="12"/>
  <c r="R49" i="12" s="1"/>
  <c r="P45" i="12"/>
  <c r="R45" i="12" s="1"/>
  <c r="P41" i="12"/>
  <c r="R41" i="12" s="1"/>
  <c r="P37" i="12"/>
  <c r="R37" i="12" s="1"/>
  <c r="P33" i="12"/>
  <c r="R33" i="12" s="1"/>
  <c r="P29" i="12"/>
  <c r="R29" i="12" s="1"/>
  <c r="P25" i="12"/>
  <c r="R25" i="12" s="1"/>
  <c r="P21" i="12"/>
  <c r="R21" i="12" s="1"/>
  <c r="P17" i="12"/>
  <c r="R17" i="12" s="1"/>
  <c r="O74" i="1"/>
  <c r="Q74" i="1" s="1"/>
  <c r="O70" i="1"/>
  <c r="Q70" i="1" s="1"/>
  <c r="O66" i="1"/>
  <c r="Q66" i="1" s="1"/>
  <c r="O62" i="1"/>
  <c r="Q62" i="1" s="1"/>
  <c r="O58" i="1"/>
  <c r="Q58" i="1" s="1"/>
  <c r="O54" i="1"/>
  <c r="Q54" i="1" s="1"/>
  <c r="O50" i="1"/>
  <c r="Q50" i="1" s="1"/>
  <c r="O46" i="1"/>
  <c r="Q46" i="1" s="1"/>
  <c r="O42" i="1"/>
  <c r="Q42" i="1" s="1"/>
  <c r="O38" i="1"/>
  <c r="Q38" i="1" s="1"/>
  <c r="P52" i="12"/>
  <c r="R52" i="12" s="1"/>
  <c r="P48" i="12"/>
  <c r="R48" i="12" s="1"/>
  <c r="P44" i="12"/>
  <c r="R44" i="12" s="1"/>
  <c r="P40" i="12"/>
  <c r="R40" i="12" s="1"/>
  <c r="P36" i="12"/>
  <c r="R36" i="12" s="1"/>
  <c r="P32" i="12"/>
  <c r="R32" i="12" s="1"/>
  <c r="P28" i="12"/>
  <c r="R28" i="12" s="1"/>
  <c r="P24" i="12"/>
  <c r="R24" i="12" s="1"/>
  <c r="P20" i="12"/>
  <c r="R20" i="12" s="1"/>
  <c r="P16" i="12"/>
  <c r="R16" i="12" s="1"/>
  <c r="O73" i="1"/>
  <c r="Q73" i="1" s="1"/>
  <c r="O69" i="1"/>
  <c r="Q69" i="1" s="1"/>
  <c r="O65" i="1"/>
  <c r="Q65" i="1" s="1"/>
  <c r="O61" i="1"/>
  <c r="Q61" i="1" s="1"/>
  <c r="O57" i="1"/>
  <c r="Q57" i="1" s="1"/>
  <c r="O53" i="1"/>
  <c r="Q53" i="1" s="1"/>
  <c r="O49" i="1"/>
  <c r="Q49" i="1" s="1"/>
  <c r="O45" i="1"/>
  <c r="Q45" i="1" s="1"/>
  <c r="O41" i="1"/>
  <c r="Q41" i="1" s="1"/>
  <c r="O37" i="1"/>
  <c r="Q37" i="1" s="1"/>
  <c r="P51" i="12"/>
  <c r="R51" i="12" s="1"/>
  <c r="P47" i="12"/>
  <c r="R47" i="12" s="1"/>
  <c r="P43" i="12"/>
  <c r="R43" i="12" s="1"/>
  <c r="P39" i="12"/>
  <c r="R39" i="12" s="1"/>
  <c r="P35" i="12"/>
  <c r="R35" i="12" s="1"/>
  <c r="P31" i="12"/>
  <c r="R31" i="12" s="1"/>
  <c r="P27" i="12"/>
  <c r="R27" i="12" s="1"/>
  <c r="P23" i="12"/>
  <c r="R23" i="12" s="1"/>
  <c r="P19" i="12"/>
  <c r="R19" i="12" s="1"/>
  <c r="P15" i="12"/>
  <c r="R15" i="12" s="1"/>
  <c r="O76" i="1"/>
  <c r="Q76" i="1" s="1"/>
  <c r="O72" i="1"/>
  <c r="Q72" i="1" s="1"/>
  <c r="O68" i="1"/>
  <c r="Q68" i="1" s="1"/>
  <c r="O64" i="1"/>
  <c r="Q64" i="1" s="1"/>
  <c r="O60" i="1"/>
  <c r="Q60" i="1" s="1"/>
  <c r="O56" i="1"/>
  <c r="Q56" i="1" s="1"/>
  <c r="O52" i="1"/>
  <c r="Q52" i="1" s="1"/>
  <c r="O48" i="1"/>
  <c r="Q48" i="1" s="1"/>
  <c r="O44" i="1"/>
  <c r="Q44" i="1" s="1"/>
  <c r="L69" i="12"/>
  <c r="D131" i="12"/>
  <c r="F15" i="12"/>
  <c r="K77" i="1"/>
  <c r="N77" i="1" s="1"/>
  <c r="K109" i="1"/>
  <c r="N109" i="1" s="1"/>
  <c r="H70" i="12"/>
  <c r="L70" i="12" s="1"/>
  <c r="K101" i="1"/>
  <c r="N101" i="1" s="1"/>
  <c r="Q40" i="1"/>
  <c r="K103" i="1"/>
  <c r="N103" i="1" s="1"/>
  <c r="K107" i="1"/>
  <c r="N107" i="1" s="1"/>
  <c r="K111" i="1"/>
  <c r="N111" i="1" s="1"/>
  <c r="F60" i="12"/>
  <c r="K91" i="1"/>
  <c r="N91" i="1" s="1"/>
  <c r="L80" i="12"/>
  <c r="L44" i="12"/>
  <c r="L40" i="12"/>
  <c r="L38" i="12"/>
  <c r="L32" i="12"/>
  <c r="H71" i="12"/>
  <c r="F71" i="12" s="1"/>
  <c r="F69" i="12"/>
  <c r="L86" i="12"/>
  <c r="K37" i="1"/>
  <c r="N37" i="1" s="1"/>
  <c r="K81" i="1"/>
  <c r="N81" i="1" s="1"/>
  <c r="T52" i="12"/>
  <c r="U52" i="12"/>
  <c r="V52" i="12" s="1"/>
  <c r="S80" i="12"/>
  <c r="U80" i="12" s="1"/>
  <c r="V80" i="12" s="1"/>
  <c r="T81" i="12"/>
  <c r="U41" i="12"/>
  <c r="V41" i="12" s="1"/>
  <c r="T41" i="12"/>
  <c r="T74" i="12"/>
  <c r="U88" i="12"/>
  <c r="V88" i="12" s="1"/>
  <c r="L41" i="12"/>
  <c r="L37" i="12"/>
  <c r="T66" i="12"/>
  <c r="U66" i="12"/>
  <c r="V66" i="12" s="1"/>
  <c r="T64" i="12"/>
  <c r="U64" i="12"/>
  <c r="V64" i="12" s="1"/>
  <c r="T79" i="12"/>
  <c r="U79" i="12"/>
  <c r="V79" i="12" s="1"/>
  <c r="U90" i="12"/>
  <c r="V90" i="12" s="1"/>
  <c r="T90" i="12"/>
  <c r="L51" i="12"/>
  <c r="L75" i="12"/>
  <c r="L82" i="12"/>
  <c r="L52" i="12"/>
  <c r="L48" i="12"/>
  <c r="L65" i="12"/>
  <c r="L74" i="12"/>
  <c r="S44" i="12"/>
  <c r="U44" i="12" s="1"/>
  <c r="V44" i="12" s="1"/>
  <c r="L81" i="12"/>
  <c r="L87" i="12"/>
  <c r="U36" i="12"/>
  <c r="V36" i="12" s="1"/>
  <c r="T36" i="12"/>
  <c r="U56" i="12"/>
  <c r="V56" i="12" s="1"/>
  <c r="T56" i="12"/>
  <c r="T57" i="12"/>
  <c r="U57" i="12"/>
  <c r="V57" i="12" s="1"/>
  <c r="U77" i="12"/>
  <c r="V77" i="12" s="1"/>
  <c r="T77" i="12"/>
  <c r="S75" i="12"/>
  <c r="T75" i="12" s="1"/>
  <c r="S71" i="12"/>
  <c r="T71" i="12" s="1"/>
  <c r="L47" i="12"/>
  <c r="L28" i="12"/>
  <c r="L22" i="12"/>
  <c r="L63" i="12"/>
  <c r="S65" i="12"/>
  <c r="S82" i="12"/>
  <c r="S28" i="12"/>
  <c r="U28" i="12" s="1"/>
  <c r="V28" i="12" s="1"/>
  <c r="L55" i="12"/>
  <c r="L39" i="12"/>
  <c r="L35" i="12"/>
  <c r="L90" i="12"/>
  <c r="L68" i="12"/>
  <c r="L78" i="12"/>
  <c r="L76" i="12"/>
  <c r="S51" i="12"/>
  <c r="U51" i="12" s="1"/>
  <c r="V51" i="12" s="1"/>
  <c r="S87" i="12"/>
  <c r="U87" i="12" s="1"/>
  <c r="V87" i="12" s="1"/>
  <c r="S86" i="12"/>
  <c r="F81" i="12"/>
  <c r="S47" i="12"/>
  <c r="U47" i="12" s="1"/>
  <c r="V47" i="12" s="1"/>
  <c r="S32" i="12"/>
  <c r="L84" i="12"/>
  <c r="L56" i="12"/>
  <c r="L53" i="12"/>
  <c r="L46" i="12"/>
  <c r="L36" i="12"/>
  <c r="L31" i="12"/>
  <c r="L21" i="12"/>
  <c r="L17" i="12"/>
  <c r="L89" i="12"/>
  <c r="L88" i="12"/>
  <c r="L64" i="12"/>
  <c r="L62" i="12"/>
  <c r="U45" i="12"/>
  <c r="V45" i="12" s="1"/>
  <c r="T45" i="12"/>
  <c r="T24" i="12"/>
  <c r="U24" i="12"/>
  <c r="V24" i="12" s="1"/>
  <c r="F36" i="12"/>
  <c r="F59" i="12"/>
  <c r="U89" i="12"/>
  <c r="V89" i="12" s="1"/>
  <c r="T27" i="12"/>
  <c r="S40" i="12"/>
  <c r="U40" i="12" s="1"/>
  <c r="V40" i="12" s="1"/>
  <c r="F74" i="12"/>
  <c r="L43" i="12"/>
  <c r="L34" i="12"/>
  <c r="L27" i="12"/>
  <c r="L25" i="12"/>
  <c r="L23" i="12"/>
  <c r="L67" i="12"/>
  <c r="L77" i="12"/>
  <c r="L72" i="12"/>
  <c r="S84" i="12"/>
  <c r="S78" i="12"/>
  <c r="U23" i="12"/>
  <c r="V23" i="12" s="1"/>
  <c r="S38" i="12"/>
  <c r="U38" i="12" s="1"/>
  <c r="V38" i="12" s="1"/>
  <c r="L49" i="12"/>
  <c r="L33" i="12"/>
  <c r="L30" i="12"/>
  <c r="L24" i="12"/>
  <c r="L66" i="12"/>
  <c r="L61" i="12"/>
  <c r="L73" i="12"/>
  <c r="U53" i="12"/>
  <c r="V53" i="12" s="1"/>
  <c r="T33" i="12"/>
  <c r="U37" i="12"/>
  <c r="V37" i="12" s="1"/>
  <c r="S31" i="12"/>
  <c r="L79" i="12"/>
  <c r="L45" i="12"/>
  <c r="L29" i="12"/>
  <c r="L20" i="12"/>
  <c r="L18" i="12"/>
  <c r="L16" i="12"/>
  <c r="F49" i="12"/>
  <c r="F45" i="12"/>
  <c r="F41" i="12"/>
  <c r="F37" i="12"/>
  <c r="F33" i="12"/>
  <c r="F29" i="12"/>
  <c r="T48" i="12"/>
  <c r="T54" i="12"/>
  <c r="T29" i="12"/>
  <c r="T49" i="12"/>
  <c r="T25" i="12"/>
  <c r="T34" i="12"/>
  <c r="D8" i="12"/>
  <c r="U46" i="12"/>
  <c r="V46" i="12" s="1"/>
  <c r="T46" i="12"/>
  <c r="U43" i="12"/>
  <c r="V43" i="12" s="1"/>
  <c r="T43" i="12"/>
  <c r="U39" i="12"/>
  <c r="V39" i="12" s="1"/>
  <c r="T39" i="12"/>
  <c r="U35" i="12"/>
  <c r="V35" i="12" s="1"/>
  <c r="T35" i="12"/>
  <c r="T50" i="12"/>
  <c r="U50" i="12"/>
  <c r="V50" i="12" s="1"/>
  <c r="U67" i="12"/>
  <c r="V67" i="12" s="1"/>
  <c r="T67" i="12"/>
  <c r="L57" i="12"/>
  <c r="T68" i="12"/>
  <c r="T42" i="12"/>
  <c r="U42" i="12"/>
  <c r="V42" i="12" s="1"/>
  <c r="U26" i="12"/>
  <c r="V26" i="12" s="1"/>
  <c r="T26" i="12"/>
  <c r="D158" i="12"/>
  <c r="S22" i="12"/>
  <c r="S30" i="12"/>
  <c r="T73" i="12"/>
  <c r="F20" i="12"/>
  <c r="S76" i="12"/>
  <c r="L54" i="12"/>
  <c r="L50" i="12"/>
  <c r="L42" i="12"/>
  <c r="L26" i="12"/>
  <c r="F18" i="12"/>
  <c r="F77" i="12"/>
  <c r="F73" i="12"/>
  <c r="L85" i="12"/>
  <c r="D26" i="1"/>
  <c r="D202" i="12"/>
  <c r="D194" i="1"/>
  <c r="D236" i="1" s="1"/>
  <c r="E277" i="1" s="1"/>
  <c r="I257" i="12" s="1"/>
  <c r="D178" i="12"/>
  <c r="D179" i="12" s="1"/>
  <c r="D122" i="12"/>
  <c r="F113" i="1"/>
  <c r="F114" i="1" s="1"/>
  <c r="D118" i="1" s="1"/>
  <c r="J105" i="1"/>
  <c r="K105" i="1" s="1"/>
  <c r="N105" i="1" s="1"/>
  <c r="H83" i="12"/>
  <c r="U72" i="12"/>
  <c r="V72" i="12" s="1"/>
  <c r="Q58" i="12"/>
  <c r="H58" i="12"/>
  <c r="L19" i="12"/>
  <c r="D21" i="1" l="1"/>
  <c r="D23" i="1" s="1"/>
  <c r="D123" i="12"/>
  <c r="R122" i="12"/>
  <c r="R123" i="12" s="1"/>
  <c r="V122" i="12"/>
  <c r="S122" i="12"/>
  <c r="S123" i="12" s="1"/>
  <c r="X122" i="12"/>
  <c r="Q122" i="12"/>
  <c r="W122" i="12"/>
  <c r="T122" i="12"/>
  <c r="T123" i="12" s="1"/>
  <c r="U122" i="12"/>
  <c r="U123" i="12" s="1"/>
  <c r="Y122" i="12"/>
  <c r="Y123" i="12" s="1"/>
  <c r="Z122" i="12"/>
  <c r="Z123" i="12" s="1"/>
  <c r="AA122" i="12"/>
  <c r="AA123" i="12" s="1"/>
  <c r="AB122" i="12"/>
  <c r="AB123" i="12" s="1"/>
  <c r="D373" i="12"/>
  <c r="E290" i="1"/>
  <c r="F291" i="1"/>
  <c r="F374" i="12"/>
  <c r="D164" i="12"/>
  <c r="D165" i="12" s="1"/>
  <c r="F70" i="12"/>
  <c r="L42" i="7"/>
  <c r="L41" i="7"/>
  <c r="D180" i="12"/>
  <c r="D218" i="12" s="1"/>
  <c r="N80" i="1"/>
  <c r="E80" i="1" s="1"/>
  <c r="D197" i="1"/>
  <c r="D237" i="1" s="1"/>
  <c r="D238" i="1" s="1"/>
  <c r="L71" i="12"/>
  <c r="M69" i="12" s="1"/>
  <c r="O69" i="12" s="1"/>
  <c r="U71" i="12"/>
  <c r="V71" i="12" s="1"/>
  <c r="T40" i="12"/>
  <c r="U75" i="12"/>
  <c r="V75" i="12" s="1"/>
  <c r="M79" i="12"/>
  <c r="O79" i="12" s="1"/>
  <c r="M85" i="12"/>
  <c r="O85" i="12" s="1"/>
  <c r="M87" i="12"/>
  <c r="O87" i="12" s="1"/>
  <c r="T38" i="12"/>
  <c r="T80" i="12"/>
  <c r="T44" i="12"/>
  <c r="M55" i="12"/>
  <c r="O55" i="12" s="1"/>
  <c r="T28" i="12"/>
  <c r="T51" i="12"/>
  <c r="T47" i="12"/>
  <c r="M89" i="12"/>
  <c r="O89" i="12" s="1"/>
  <c r="M59" i="12"/>
  <c r="O59" i="12" s="1"/>
  <c r="M81" i="12"/>
  <c r="O81" i="12" s="1"/>
  <c r="T87" i="12"/>
  <c r="S91" i="12"/>
  <c r="U86" i="12"/>
  <c r="V86" i="12" s="1"/>
  <c r="T86" i="12"/>
  <c r="U32" i="12"/>
  <c r="V32" i="12" s="1"/>
  <c r="T32" i="12"/>
  <c r="T82" i="12"/>
  <c r="U82" i="12"/>
  <c r="V82" i="12" s="1"/>
  <c r="U65" i="12"/>
  <c r="V65" i="12" s="1"/>
  <c r="T65" i="12"/>
  <c r="T78" i="12"/>
  <c r="U78" i="12"/>
  <c r="V78" i="12" s="1"/>
  <c r="U84" i="12"/>
  <c r="V84" i="12" s="1"/>
  <c r="T84" i="12"/>
  <c r="T31" i="12"/>
  <c r="U31" i="12"/>
  <c r="V31" i="12" s="1"/>
  <c r="S58" i="12"/>
  <c r="R58" i="12"/>
  <c r="L58" i="12"/>
  <c r="T30" i="12"/>
  <c r="U30" i="12"/>
  <c r="V30" i="12" s="1"/>
  <c r="M15" i="12"/>
  <c r="O15" i="12" s="1"/>
  <c r="F58" i="12"/>
  <c r="E58" i="12" s="1"/>
  <c r="H92" i="12"/>
  <c r="D106" i="12" s="1"/>
  <c r="T76" i="12"/>
  <c r="U76" i="12"/>
  <c r="V76" i="12" s="1"/>
  <c r="N113" i="1"/>
  <c r="E113" i="1" s="1"/>
  <c r="L83" i="12"/>
  <c r="F83" i="12"/>
  <c r="H91" i="12"/>
  <c r="D183" i="12"/>
  <c r="D219" i="12" s="1"/>
  <c r="D143" i="1"/>
  <c r="D210" i="1" l="1"/>
  <c r="E211" i="1" s="1"/>
  <c r="D24" i="1"/>
  <c r="S219" i="12"/>
  <c r="AA219" i="12"/>
  <c r="Q219" i="12"/>
  <c r="X219" i="12"/>
  <c r="Y219" i="12"/>
  <c r="R219" i="12"/>
  <c r="Z219" i="12"/>
  <c r="T219" i="12"/>
  <c r="AB219" i="12"/>
  <c r="U219" i="12"/>
  <c r="W219" i="12"/>
  <c r="V219" i="12"/>
  <c r="I259" i="12"/>
  <c r="X218" i="12"/>
  <c r="Y218" i="12"/>
  <c r="R218" i="12"/>
  <c r="Z218" i="12"/>
  <c r="W218" i="12"/>
  <c r="S218" i="12"/>
  <c r="AA218" i="12"/>
  <c r="T218" i="12"/>
  <c r="AB218" i="12"/>
  <c r="U218" i="12"/>
  <c r="Q218" i="12"/>
  <c r="V218" i="12"/>
  <c r="P122" i="12"/>
  <c r="Q123" i="12"/>
  <c r="D326" i="12"/>
  <c r="F277" i="1"/>
  <c r="J257" i="12" s="1"/>
  <c r="M58" i="12"/>
  <c r="N114" i="1"/>
  <c r="D117" i="1" s="1"/>
  <c r="D119" i="1" s="1"/>
  <c r="D122" i="1" s="1"/>
  <c r="D123" i="1" s="1"/>
  <c r="D124" i="1" s="1"/>
  <c r="F92" i="12"/>
  <c r="F91" i="12"/>
  <c r="E91" i="12" s="1"/>
  <c r="M83" i="12"/>
  <c r="L91" i="12"/>
  <c r="D144" i="1"/>
  <c r="D175" i="1" s="1"/>
  <c r="O58" i="12"/>
  <c r="J259" i="12"/>
  <c r="D220" i="12"/>
  <c r="D139" i="12"/>
  <c r="AB220" i="12" l="1"/>
  <c r="D202" i="1"/>
  <c r="Y220" i="12"/>
  <c r="S220" i="12"/>
  <c r="X220" i="12"/>
  <c r="T220" i="12"/>
  <c r="P219" i="12"/>
  <c r="V220" i="12"/>
  <c r="Z220" i="12"/>
  <c r="Q220" i="12"/>
  <c r="R220" i="12"/>
  <c r="U220" i="12"/>
  <c r="AA220" i="12"/>
  <c r="W220" i="12"/>
  <c r="P218" i="12"/>
  <c r="D375" i="12"/>
  <c r="E376" i="12"/>
  <c r="D306" i="12"/>
  <c r="E92" i="12"/>
  <c r="O83" i="12"/>
  <c r="M91" i="12"/>
  <c r="G58" i="12"/>
  <c r="D140" i="12"/>
  <c r="D171" i="12" s="1"/>
  <c r="D145" i="1"/>
  <c r="P220" i="12" l="1"/>
  <c r="D174" i="1"/>
  <c r="D201" i="1" s="1"/>
  <c r="D203" i="1" s="1"/>
  <c r="O91" i="12"/>
  <c r="D141" i="12"/>
  <c r="D170" i="12" s="1"/>
  <c r="D187" i="12" s="1"/>
  <c r="D211" i="1" l="1"/>
  <c r="D212" i="1" s="1" a="1"/>
  <c r="G91" i="12"/>
  <c r="C114" i="12" s="1"/>
  <c r="O92" i="12"/>
  <c r="D105" i="12" l="1"/>
  <c r="D107" i="12" s="1"/>
  <c r="D108" i="12" s="1"/>
  <c r="D109" i="12" s="1"/>
  <c r="D110" i="12" s="1"/>
  <c r="G92" i="12"/>
  <c r="D188" i="12" l="1"/>
  <c r="D189" i="12" s="1"/>
  <c r="T85" i="12" l="1"/>
  <c r="U85" i="12"/>
  <c r="V85" i="12" s="1"/>
  <c r="T17" i="12"/>
  <c r="T63" i="12"/>
  <c r="T20" i="12"/>
  <c r="T83" i="12"/>
  <c r="U69" i="12"/>
  <c r="V69" i="12" s="1"/>
  <c r="T69" i="12"/>
  <c r="U83" i="12"/>
  <c r="V83" i="12" s="1"/>
  <c r="T60" i="12"/>
  <c r="D29" i="1" l="1"/>
  <c r="T19" i="12"/>
  <c r="U21" i="12"/>
  <c r="V21" i="12" s="1"/>
  <c r="U60" i="12"/>
  <c r="V60" i="12" s="1"/>
  <c r="U18" i="12"/>
  <c r="V18" i="12" s="1"/>
  <c r="U19" i="12"/>
  <c r="V19" i="12" s="1"/>
  <c r="U22" i="12"/>
  <c r="V22" i="12" s="1"/>
  <c r="T62" i="12"/>
  <c r="T16" i="12"/>
  <c r="U55" i="12"/>
  <c r="V55" i="12" s="1"/>
  <c r="T21" i="12"/>
  <c r="T55" i="12"/>
  <c r="U62" i="12"/>
  <c r="V62" i="12" s="1"/>
  <c r="T61" i="12"/>
  <c r="U70" i="12"/>
  <c r="V70" i="12" s="1"/>
  <c r="U17" i="12"/>
  <c r="V17" i="12" s="1"/>
  <c r="U16" i="12"/>
  <c r="V16" i="12" s="1"/>
  <c r="U61" i="12"/>
  <c r="V61" i="12" s="1"/>
  <c r="U20" i="12"/>
  <c r="V20" i="12" s="1"/>
  <c r="T70" i="12"/>
  <c r="T22" i="12"/>
  <c r="U63" i="12"/>
  <c r="V63" i="12" s="1"/>
  <c r="T18" i="12"/>
  <c r="U15" i="12" l="1"/>
  <c r="T15" i="12"/>
  <c r="T58" i="12" s="1"/>
  <c r="V15" i="12" l="1"/>
  <c r="U58" i="12"/>
  <c r="V58" i="12" s="1"/>
  <c r="D212" i="1" l="1"/>
  <c r="D219" i="1" s="1"/>
  <c r="D30" i="1" s="1"/>
  <c r="D184" i="1" s="1"/>
  <c r="G167" i="1" l="1"/>
  <c r="D146" i="1"/>
  <c r="D228" i="1"/>
  <c r="D176" i="1"/>
  <c r="D126" i="1"/>
  <c r="D132" i="12"/>
  <c r="D230" i="1"/>
  <c r="D227" i="1"/>
  <c r="D232" i="1"/>
  <c r="D229" i="1"/>
  <c r="D125" i="1"/>
  <c r="D167" i="1"/>
  <c r="D231" i="1"/>
  <c r="E273" i="1" l="1"/>
  <c r="E256" i="12" s="1"/>
  <c r="T273" i="1"/>
  <c r="Q273" i="1"/>
  <c r="B273" i="1"/>
  <c r="B256" i="12" s="1"/>
  <c r="D233" i="1"/>
  <c r="E228" i="1" s="1"/>
  <c r="F228" i="1" s="1"/>
  <c r="Q213" i="12"/>
  <c r="W214" i="12"/>
  <c r="S212" i="12"/>
  <c r="D112" i="12"/>
  <c r="Q214" i="12"/>
  <c r="X213" i="12"/>
  <c r="W213" i="12"/>
  <c r="AA211" i="12"/>
  <c r="X212" i="12"/>
  <c r="Y213" i="12"/>
  <c r="G163" i="12"/>
  <c r="W209" i="12"/>
  <c r="D111" i="12"/>
  <c r="X211" i="12"/>
  <c r="S214" i="12"/>
  <c r="AA213" i="12"/>
  <c r="U214" i="12"/>
  <c r="U213" i="12"/>
  <c r="Z213" i="12"/>
  <c r="AB213" i="12"/>
  <c r="D172" i="12"/>
  <c r="X214" i="12"/>
  <c r="W212" i="12"/>
  <c r="T209" i="12"/>
  <c r="Z209" i="12"/>
  <c r="Z210" i="12"/>
  <c r="U209" i="12"/>
  <c r="T213" i="12"/>
  <c r="U212" i="12"/>
  <c r="V211" i="12"/>
  <c r="AB211" i="12"/>
  <c r="Z212" i="12"/>
  <c r="R211" i="12"/>
  <c r="Q212" i="12"/>
  <c r="AB209" i="12"/>
  <c r="V209" i="12"/>
  <c r="R210" i="12"/>
  <c r="W211" i="12"/>
  <c r="AA209" i="12"/>
  <c r="AA212" i="12"/>
  <c r="Y211" i="12"/>
  <c r="AB210" i="12"/>
  <c r="V214" i="12"/>
  <c r="T212" i="12"/>
  <c r="S209" i="12"/>
  <c r="R212" i="12"/>
  <c r="AB212" i="12"/>
  <c r="T214" i="12"/>
  <c r="Z211" i="12"/>
  <c r="Y210" i="12"/>
  <c r="T210" i="12"/>
  <c r="S210" i="12"/>
  <c r="V212" i="12"/>
  <c r="T211" i="12"/>
  <c r="AB214" i="12"/>
  <c r="AA210" i="12"/>
  <c r="Y209" i="12"/>
  <c r="V210" i="12"/>
  <c r="U210" i="12"/>
  <c r="Z214" i="12"/>
  <c r="R214" i="12"/>
  <c r="S211" i="12"/>
  <c r="U211" i="12"/>
  <c r="Q209" i="12"/>
  <c r="W210" i="12"/>
  <c r="D163" i="12"/>
  <c r="S213" i="12"/>
  <c r="Q210" i="12"/>
  <c r="R213" i="12"/>
  <c r="Y212" i="12"/>
  <c r="Y214" i="12"/>
  <c r="V213" i="12"/>
  <c r="R209" i="12"/>
  <c r="D142" i="12"/>
  <c r="X210" i="12"/>
  <c r="AA214" i="12"/>
  <c r="Q211" i="12"/>
  <c r="X209" i="12"/>
  <c r="F273" i="1"/>
  <c r="G256" i="12" s="1"/>
  <c r="E231" i="1"/>
  <c r="F231" i="1" s="1"/>
  <c r="R273" i="1"/>
  <c r="C273" i="1"/>
  <c r="C256" i="12" s="1"/>
  <c r="G273" i="1"/>
  <c r="F256" i="12" s="1"/>
  <c r="S273" i="1"/>
  <c r="D273" i="1"/>
  <c r="D256" i="12" s="1"/>
  <c r="R215" i="12" l="1"/>
  <c r="R222" i="12" s="1"/>
  <c r="Y215" i="12"/>
  <c r="Y222" i="12" s="1"/>
  <c r="T215" i="12"/>
  <c r="T222" i="12" s="1"/>
  <c r="E227" i="1"/>
  <c r="F227" i="1" s="1"/>
  <c r="Z215" i="12"/>
  <c r="Z222" i="12" s="1"/>
  <c r="P213" i="12"/>
  <c r="D213" i="12" s="1"/>
  <c r="F258" i="12" s="1"/>
  <c r="E232" i="1"/>
  <c r="F232" i="1" s="1"/>
  <c r="AA215" i="12"/>
  <c r="AA222" i="12" s="1"/>
  <c r="E229" i="1"/>
  <c r="F229" i="1" s="1"/>
  <c r="X215" i="12"/>
  <c r="X222" i="12" s="1"/>
  <c r="P211" i="12"/>
  <c r="D211" i="12" s="1"/>
  <c r="S215" i="12"/>
  <c r="S222" i="12" s="1"/>
  <c r="P214" i="12"/>
  <c r="D214" i="12" s="1"/>
  <c r="V215" i="12"/>
  <c r="V222" i="12" s="1"/>
  <c r="W215" i="12"/>
  <c r="W222" i="12" s="1"/>
  <c r="E230" i="1"/>
  <c r="F230" i="1" s="1"/>
  <c r="P209" i="12"/>
  <c r="Q215" i="12"/>
  <c r="Q222" i="12" s="1"/>
  <c r="P210" i="12"/>
  <c r="D210" i="12" s="1"/>
  <c r="AB215" i="12"/>
  <c r="AB222" i="12" s="1"/>
  <c r="U215" i="12"/>
  <c r="U222" i="12" s="1"/>
  <c r="P212" i="12"/>
  <c r="D212" i="12" s="1"/>
  <c r="P222" i="12" l="1"/>
  <c r="G258" i="12"/>
  <c r="D258" i="12"/>
  <c r="C258" i="12"/>
  <c r="D209" i="12"/>
  <c r="P215" i="12"/>
  <c r="E258" i="12"/>
  <c r="E233" i="1"/>
  <c r="F233" i="1" s="1"/>
  <c r="D240" i="1" l="1"/>
  <c r="B258" i="12"/>
  <c r="D215" i="12"/>
  <c r="E213" i="12" l="1"/>
  <c r="F213" i="12" s="1"/>
  <c r="D222" i="12"/>
  <c r="E214" i="12"/>
  <c r="F214" i="12" s="1"/>
  <c r="E211" i="12"/>
  <c r="F211" i="12" s="1"/>
  <c r="E212" i="12"/>
  <c r="F212" i="12" s="1"/>
  <c r="E210" i="12"/>
  <c r="F210" i="12" s="1"/>
  <c r="H210" i="12" s="1"/>
  <c r="D242" i="1"/>
  <c r="D244" i="1" s="1"/>
  <c r="E209" i="12"/>
  <c r="G228" i="1" l="1"/>
  <c r="H228" i="1" s="1"/>
  <c r="D28" i="1"/>
  <c r="D282" i="1"/>
  <c r="G277" i="1"/>
  <c r="K257" i="12" s="1"/>
  <c r="G231" i="1"/>
  <c r="H231" i="1" s="1"/>
  <c r="G232" i="1"/>
  <c r="H232" i="1" s="1"/>
  <c r="G227" i="1"/>
  <c r="H227" i="1" s="1"/>
  <c r="H233" i="1" s="1"/>
  <c r="G230" i="1"/>
  <c r="H230" i="1" s="1"/>
  <c r="G229" i="1"/>
  <c r="H229" i="1" s="1"/>
  <c r="G233" i="1"/>
  <c r="G244" i="1" s="1"/>
  <c r="H212" i="12"/>
  <c r="K308" i="12"/>
  <c r="H211" i="12"/>
  <c r="H273" i="1"/>
  <c r="H256" i="12" s="1"/>
  <c r="G242" i="1"/>
  <c r="H242" i="1" s="1"/>
  <c r="H214" i="12"/>
  <c r="F222" i="12"/>
  <c r="D224" i="12"/>
  <c r="E215" i="12"/>
  <c r="F215" i="12" s="1"/>
  <c r="F209" i="12"/>
  <c r="H213" i="12"/>
  <c r="H244" i="1" l="1"/>
  <c r="D226" i="12"/>
  <c r="G224" i="12" s="1"/>
  <c r="F224" i="12"/>
  <c r="H224" i="12" s="1"/>
  <c r="H258" i="12"/>
  <c r="T112" i="12"/>
  <c r="U112" i="12" s="1"/>
  <c r="H209" i="12"/>
  <c r="T169" i="12"/>
  <c r="U169" i="12" s="1"/>
  <c r="V169" i="12" s="1"/>
  <c r="D290" i="1"/>
  <c r="D284" i="1"/>
  <c r="C373" i="12"/>
  <c r="T194" i="12"/>
  <c r="U194" i="12" s="1"/>
  <c r="V194" i="12" s="1"/>
  <c r="G215" i="12" l="1"/>
  <c r="G209" i="12"/>
  <c r="G210" i="12"/>
  <c r="D227" i="12"/>
  <c r="K259" i="12"/>
  <c r="U59" i="12"/>
  <c r="G212" i="12"/>
  <c r="G211" i="12"/>
  <c r="T59" i="12"/>
  <c r="G214" i="12"/>
  <c r="T137" i="12"/>
  <c r="U137" i="12" s="1"/>
  <c r="V137" i="12" s="1"/>
  <c r="T147" i="12"/>
  <c r="U147" i="12" s="1"/>
  <c r="V147" i="12" s="1"/>
  <c r="T146" i="12"/>
  <c r="U146" i="12" s="1"/>
  <c r="V146" i="12" s="1"/>
  <c r="G213" i="12"/>
  <c r="V59" i="12" l="1"/>
  <c r="U91" i="12"/>
  <c r="V91" i="12" s="1"/>
  <c r="U92" i="12"/>
  <c r="D229" i="12"/>
  <c r="D325" i="12"/>
  <c r="T91" i="12"/>
  <c r="T92" i="12"/>
  <c r="D307" i="12" s="1"/>
  <c r="D327" i="12" l="1"/>
  <c r="D330" i="12" s="1"/>
  <c r="C375" i="12"/>
  <c r="V92" i="12"/>
  <c r="D308" i="12"/>
  <c r="D338" i="12" l="1"/>
  <c r="F338" i="12" s="1"/>
  <c r="D332" i="12"/>
  <c r="H332" i="12" s="1"/>
  <c r="D309" i="12"/>
  <c r="D311"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Pierre DEMESMAECKER</author>
    <author>Papa</author>
    <author>Pierre Demesmaecker</author>
  </authors>
  <commentList>
    <comment ref="C7" authorId="0" shapeId="0" xr:uid="{AA2FFA18-92BA-43FB-8E40-C51E650E649C}">
      <text>
        <r>
          <rPr>
            <sz val="9"/>
            <color indexed="81"/>
            <rFont val="Tahoma"/>
            <family val="2"/>
          </rPr>
          <t>Il s'agit de l'électricité non verte prélevée sur le réseau</t>
        </r>
      </text>
    </comment>
    <comment ref="C13" authorId="0" shapeId="0" xr:uid="{100F5F5B-86B2-40C8-B39A-CE0F1C6ABB82}">
      <text>
        <r>
          <rPr>
            <sz val="9"/>
            <color indexed="81"/>
            <rFont val="Tahoma"/>
            <family val="2"/>
          </rPr>
          <t>Il s'agit de l'électricité non verte prélevée sur le réseau</t>
        </r>
      </text>
    </comment>
    <comment ref="C16" authorId="0" shapeId="0" xr:uid="{47DA6B2F-689C-4DF7-AF53-346C17AD77D3}">
      <text>
        <r>
          <rPr>
            <sz val="9"/>
            <color indexed="81"/>
            <rFont val="Tahoma"/>
            <family val="2"/>
          </rPr>
          <t>Il s'agit de l'électricité verte puisée sur le réseau + l'électricité verte produite sur le site</t>
        </r>
      </text>
    </comment>
    <comment ref="C22" authorId="0" shapeId="0" xr:uid="{A1203B02-9A49-41CC-A765-1945D6B1F9D6}">
      <text>
        <r>
          <rPr>
            <sz val="9"/>
            <color indexed="81"/>
            <rFont val="Tahoma"/>
            <family val="2"/>
          </rPr>
          <t>Si l'énergie nécessaire pour la production d'ECS est comptabilisée dans la consommation de combustible, il faut évaluer la consommation dévolue à l'ECS (voir outil sur Energie+)</t>
        </r>
      </text>
    </comment>
    <comment ref="G36" authorId="0" shapeId="0" xr:uid="{8E9E2659-5D0C-4929-9D04-8DFC668129EE}">
      <text>
        <r>
          <rPr>
            <sz val="9"/>
            <color indexed="81"/>
            <rFont val="Tahoma"/>
            <family val="2"/>
          </rPr>
          <t>voir exemples dans l'onglet "parois types"</t>
        </r>
      </text>
    </comment>
    <comment ref="H36" authorId="0" shapeId="0" xr:uid="{FD976795-479D-4D35-933C-4A03F0E5F394}">
      <text>
        <r>
          <rPr>
            <sz val="9"/>
            <color indexed="81"/>
            <rFont val="Tahoma"/>
            <family val="2"/>
          </rPr>
          <t>0% si pas d'ombrage,
100% si complètement ombragé en hiver</t>
        </r>
      </text>
    </comment>
    <comment ref="C103" authorId="1" shapeId="0" xr:uid="{E49AE237-DCEA-4165-ADCE-65F1A05E1E82}">
      <text>
        <r>
          <rPr>
            <b/>
            <sz val="9"/>
            <color indexed="81"/>
            <rFont val="Tahoma"/>
            <family val="2"/>
          </rPr>
          <t>EANC =</t>
        </r>
        <r>
          <rPr>
            <sz val="9"/>
            <color indexed="81"/>
            <rFont val="Tahoma"/>
            <family val="2"/>
          </rPr>
          <t xml:space="preserve"> espace adjacent non chauffé.  Typiquement un garage, une remise, une véranda non chauffée ou un vide ventilé.</t>
        </r>
      </text>
    </comment>
    <comment ref="E107" authorId="0" shapeId="0" xr:uid="{2560C79E-027E-4612-81A3-B18EB3E51DDB}">
      <text>
        <r>
          <rPr>
            <sz val="9"/>
            <color indexed="81"/>
            <rFont val="Tahoma"/>
            <family val="2"/>
          </rPr>
          <t>A calculer via l'onglet U_sol ou l'outil Energie+ (voir lien ci-contre)</t>
        </r>
      </text>
    </comment>
    <comment ref="E108" authorId="0" shapeId="0" xr:uid="{B096F6B3-7F49-4BE8-BD55-A2093D3BDCE1}">
      <text>
        <r>
          <rPr>
            <sz val="9"/>
            <color indexed="81"/>
            <rFont val="Tahoma"/>
            <family val="2"/>
          </rPr>
          <t>A calculer via l'onglet U_sol ou l'outil Energie+ (voir lien ci-contre)</t>
        </r>
      </text>
    </comment>
    <comment ref="D120" authorId="2" shapeId="0" xr:uid="{3EC27762-BA6F-450E-BDCB-C224304FF52B}">
      <text>
        <r>
          <rPr>
            <sz val="9"/>
            <color indexed="81"/>
            <rFont val="Tahoma"/>
            <family val="2"/>
          </rPr>
          <t>Si bâtiment peu/pas isolé, renseigner "oui, tous".</t>
        </r>
        <r>
          <rPr>
            <sz val="9"/>
            <color indexed="81"/>
            <rFont val="Tahoma"/>
            <family val="2"/>
          </rPr>
          <t xml:space="preserve">
</t>
        </r>
      </text>
    </comment>
    <comment ref="E142" authorId="0" shapeId="0" xr:uid="{2CC44973-BDBB-47CF-9301-8E7EB630EBE8}">
      <text>
        <r>
          <rPr>
            <sz val="9"/>
            <color indexed="81"/>
            <rFont val="Tahoma"/>
            <family val="2"/>
          </rPr>
          <t>Par défaut : 75% du volume protégé</t>
        </r>
      </text>
    </comment>
    <comment ref="G152" authorId="2" shapeId="0" xr:uid="{64494644-0330-4C10-BA7B-575173635A18}">
      <text>
        <r>
          <rPr>
            <sz val="9"/>
            <color indexed="81"/>
            <rFont val="Tahoma"/>
            <family val="2"/>
          </rPr>
          <t>Par déaut, laisser cette case vide.  
Le fait d'intégrer un débit normatif permet de comparer une situation initiale d'un bâtiment sans vraie ventilation avec un bâtiment rénové normalement ventilé (le calcul se base alors sur une situation initiale dont les débits de ventilation sont équivalents aux débits normatifs).</t>
        </r>
      </text>
    </comment>
    <comment ref="G153" authorId="2" shapeId="0" xr:uid="{FAEA2739-7C60-4EA9-98AC-F1F5B09E55C7}">
      <text>
        <r>
          <rPr>
            <sz val="9"/>
            <color indexed="81"/>
            <rFont val="Tahoma"/>
            <family val="2"/>
          </rPr>
          <t>Laisser vide si le débit n'est pas déterminé selon EN13779</t>
        </r>
      </text>
    </comment>
    <comment ref="C155" authorId="0" shapeId="0" xr:uid="{070A8AD4-11E9-4667-8E83-3154A8FC8078}">
      <text>
        <r>
          <rPr>
            <b/>
            <sz val="9"/>
            <color indexed="81"/>
            <rFont val="Tahoma"/>
            <family val="2"/>
          </rPr>
          <t>Exemple</t>
        </r>
        <r>
          <rPr>
            <sz val="9"/>
            <color indexed="81"/>
            <rFont val="Tahoma"/>
            <family val="2"/>
          </rPr>
          <t xml:space="preserve">
Une occupation de 20 personnes de 8h à 9h et de 50 personnes de 9h à 17h s'écrit
</t>
        </r>
        <r>
          <rPr>
            <b/>
            <sz val="9"/>
            <color indexed="81"/>
            <rFont val="Tahoma"/>
            <family val="2"/>
          </rPr>
          <t>nbre personnes    nbre heures
20                        1
50                        8</t>
        </r>
        <r>
          <rPr>
            <sz val="9"/>
            <color indexed="81"/>
            <rFont val="Tahoma"/>
            <family val="2"/>
          </rPr>
          <t xml:space="preserve">
Cet encodage peut aussi vouloir dire que 70 personnes sont présentes pendant 1 heure, et 50 pendant les 7h restantes de la journée.</t>
        </r>
      </text>
    </comment>
    <comment ref="D161" authorId="0" shapeId="0" xr:uid="{ECE84786-BCBA-4957-993C-9D3E328F82BB}">
      <text>
        <r>
          <rPr>
            <sz val="9"/>
            <color indexed="81"/>
            <rFont val="Tahoma"/>
            <family val="2"/>
          </rPr>
          <t>Typiquement 5 jours par semaine pour des bureaux</t>
        </r>
      </text>
    </comment>
    <comment ref="C164" authorId="0" shapeId="0" xr:uid="{BF976538-68D9-45E3-B277-BF511923AE56}">
      <text>
        <r>
          <rPr>
            <b/>
            <sz val="9"/>
            <color indexed="81"/>
            <rFont val="Tahoma"/>
            <family val="2"/>
          </rPr>
          <t>Ceci permet de prendre en compte la consommation des ventilateurs</t>
        </r>
      </text>
    </comment>
    <comment ref="C165" authorId="0" shapeId="0" xr:uid="{EA12E2DE-169B-4652-85FF-46284DABFAFE}">
      <text>
        <r>
          <rPr>
            <sz val="9"/>
            <color indexed="81"/>
            <rFont val="Tahoma"/>
            <family val="2"/>
          </rPr>
          <t>0% si pas de récupérateur de chaleur
75% si récupérateur de chaleur standard</t>
        </r>
      </text>
    </comment>
    <comment ref="D165" authorId="0" shapeId="0" xr:uid="{4EFC71CB-FE0C-4D5B-BAAC-BE78CC95B462}">
      <text>
        <r>
          <rPr>
            <sz val="9"/>
            <color indexed="81"/>
            <rFont val="Tahoma"/>
            <family val="2"/>
          </rPr>
          <t>0 si absence de récupération de chaleur
75% valeur courante</t>
        </r>
      </text>
    </comment>
    <comment ref="D168" authorId="0" shapeId="0" xr:uid="{C6262F5B-64FC-4075-B003-0E559E8E5192}">
      <text>
        <r>
          <rPr>
            <b/>
            <sz val="9"/>
            <color indexed="81"/>
            <rFont val="Tahoma"/>
            <family val="2"/>
          </rPr>
          <t xml:space="preserve">une consommation électrique est calculée s'il s'agit d'une ventilation mécanique </t>
        </r>
      </text>
    </comment>
    <comment ref="F172" authorId="0" shapeId="0" xr:uid="{1F90F1F5-B71A-4A9F-B26F-822528B0E2D4}">
      <text>
        <r>
          <rPr>
            <sz val="9"/>
            <color indexed="81"/>
            <rFont val="Tahoma"/>
            <family val="2"/>
          </rPr>
          <t>Si le bâtiment est insuffisamment ventilé (pas de ventilation mécanique et fenêtres peu souvent ouvertes)</t>
        </r>
      </text>
    </comment>
    <comment ref="G172" authorId="0" shapeId="0" xr:uid="{2920DAF4-034B-4F0C-93D6-C1F892480295}">
      <text>
        <r>
          <rPr>
            <sz val="9"/>
            <color indexed="81"/>
            <rFont val="Tahoma"/>
            <family val="2"/>
          </rPr>
          <t>Si le bâtiment est normalement ventilé (on ouvre fréquemment les fenêtres) ou en présence d'un système de ventilation mécanique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Pierre DEMESMAECKER</author>
    <author>Pierre Demesmaecker</author>
    <author>Raphaël Capart</author>
  </authors>
  <commentList>
    <comment ref="J14" authorId="0" shapeId="0" xr:uid="{E041F223-C6BF-464B-9964-081CF12B6027}">
      <text>
        <r>
          <rPr>
            <sz val="9"/>
            <color indexed="81"/>
            <rFont val="Tahoma"/>
            <family val="2"/>
          </rPr>
          <t>0% si pas d'ombrage,
100% si complètement ombragé en hiver</t>
        </r>
      </text>
    </comment>
    <comment ref="G85" authorId="1" shapeId="0" xr:uid="{846BE3E3-6984-40F3-B297-E10F6DC78DD7}">
      <text>
        <r>
          <rPr>
            <sz val="9"/>
            <color indexed="81"/>
            <rFont val="Tahoma"/>
            <family val="2"/>
          </rPr>
          <t xml:space="preserve">A calculer via l'onglet U_sol ou l'outil Energie+ (voir lien ci-contre)
</t>
        </r>
      </text>
    </comment>
    <comment ref="G86" authorId="1" shapeId="0" xr:uid="{5BCA5B15-903C-4CC3-93EC-811B95AE3BEC}">
      <text>
        <r>
          <rPr>
            <sz val="9"/>
            <color indexed="81"/>
            <rFont val="Tahoma"/>
            <family val="2"/>
          </rPr>
          <t>A calculer via l'onglet U_sol ou l'outil Energie+ (voir lien ci-contre)</t>
        </r>
      </text>
    </comment>
    <comment ref="C132" authorId="0" shapeId="0" xr:uid="{1389A654-4B41-437D-A04C-6F4A42D6E192}">
      <text>
        <r>
          <rPr>
            <sz val="9"/>
            <color indexed="81"/>
            <rFont val="Tahoma"/>
            <family val="2"/>
          </rPr>
          <t>Voir remarque ci-après.</t>
        </r>
      </text>
    </comment>
    <comment ref="E138" authorId="0" shapeId="0" xr:uid="{C1A099E8-A328-4046-B05A-D686CD17B2F1}">
      <text>
        <r>
          <rPr>
            <b/>
            <sz val="9"/>
            <color indexed="81"/>
            <rFont val="Tahoma"/>
            <family val="2"/>
          </rPr>
          <t>Pierre DEMESMAECKER:</t>
        </r>
        <r>
          <rPr>
            <sz val="9"/>
            <color indexed="81"/>
            <rFont val="Tahoma"/>
            <family val="2"/>
          </rPr>
          <t xml:space="preserve">
Par défaut : 75% du volume protégé</t>
        </r>
      </text>
    </comment>
    <comment ref="T145" authorId="0" shapeId="0" xr:uid="{553A125E-A17A-4CD9-891B-820F821DA4DC}">
      <text>
        <r>
          <rPr>
            <b/>
            <sz val="9"/>
            <color indexed="81"/>
            <rFont val="Tahoma"/>
            <family val="2"/>
          </rPr>
          <t>uniquement pour le chauffage</t>
        </r>
      </text>
    </comment>
    <comment ref="U145" authorId="0" shapeId="0" xr:uid="{EDE7F373-B8D1-4057-B42C-E04920443B7C}">
      <text>
        <r>
          <rPr>
            <b/>
            <sz val="9"/>
            <color indexed="81"/>
            <rFont val="Tahoma"/>
            <family val="2"/>
          </rPr>
          <t>gains chauffage - surcout électricité</t>
        </r>
      </text>
    </comment>
    <comment ref="G148" authorId="1" shapeId="0" xr:uid="{E5490B23-1246-46BB-90F4-A7C3D47FCB91}">
      <text>
        <r>
          <rPr>
            <sz val="9"/>
            <color indexed="81"/>
            <rFont val="Tahoma"/>
            <family val="2"/>
          </rPr>
          <t>Par déaut, laisser cette case vide.  
Le fait d'intégrer un débit normatif permet de comparer une situation initiale d'un bâtiment sans vraie ventilation avec un bâtiment rénové normalement ventilé (le calcul se base alors sur une situation initiale dont les débits de ventilation sont équivalents aux débits normatifs).</t>
        </r>
      </text>
    </comment>
    <comment ref="G149" authorId="1" shapeId="0" xr:uid="{0A373C93-1CDB-4590-971D-55D39BB34507}">
      <text>
        <r>
          <rPr>
            <sz val="9"/>
            <color indexed="81"/>
            <rFont val="Tahoma"/>
            <family val="2"/>
          </rPr>
          <t>Laisser vide si le débit n'est pas déterminé selon EN13779</t>
        </r>
      </text>
    </comment>
    <comment ref="C160" authorId="0" shapeId="0" xr:uid="{D6211937-E8A7-4683-9870-BE9539FA8988}">
      <text>
        <r>
          <rPr>
            <b/>
            <sz val="9"/>
            <color indexed="81"/>
            <rFont val="Tahoma"/>
            <family val="2"/>
          </rPr>
          <t>Ceci permet de prendre en compte la consommation des ventilateurs</t>
        </r>
      </text>
    </comment>
    <comment ref="D161" authorId="0" shapeId="0" xr:uid="{6E1FDA1F-517C-455D-861C-78ABECD212E9}">
      <text>
        <r>
          <rPr>
            <b/>
            <sz val="9"/>
            <color indexed="81"/>
            <rFont val="Tahoma"/>
            <family val="2"/>
          </rPr>
          <t>0 si absence de récupération de chaleur
75% valeur courante</t>
        </r>
      </text>
    </comment>
    <comment ref="C169" authorId="0" shapeId="0" xr:uid="{DB23A73C-F11B-4F3A-AEEE-29928D629FC2}">
      <text>
        <r>
          <rPr>
            <b/>
            <sz val="9"/>
            <color indexed="81"/>
            <rFont val="Tahoma"/>
            <family val="2"/>
          </rPr>
          <t>Si pas de récupération de chaleur</t>
        </r>
      </text>
    </comment>
    <comment ref="D229" authorId="2" shapeId="0" xr:uid="{EA16E799-AAD5-4D26-81C4-73B868C0BA7B}">
      <text>
        <r>
          <rPr>
            <sz val="9"/>
            <color indexed="81"/>
            <rFont val="Tahoma"/>
            <family val="2"/>
          </rPr>
          <t>sur base d'info energie plus : https://energieplus-lesite.be/concevoir/photovoltaique/predimensionner-l-installation/</t>
        </r>
      </text>
    </comment>
    <comment ref="C326" authorId="0" shapeId="0" xr:uid="{52761AE3-EC28-4094-AC34-B499E3ED0269}">
      <text>
        <r>
          <rPr>
            <sz val="9"/>
            <color indexed="81"/>
            <rFont val="Tahoma"/>
            <family val="2"/>
          </rPr>
          <t>Il s'agit de la consommation initiale non verte + la consommation électrique supplémentaire des moteurs du système de ventilation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Pierre DEMESMAECKER</author>
  </authors>
  <commentList>
    <comment ref="I26" authorId="0" shapeId="0" xr:uid="{85A385E7-6D02-4391-A577-CAD4EB55C9FB}">
      <text>
        <r>
          <rPr>
            <sz val="9"/>
            <color indexed="81"/>
            <rFont val="Tahoma"/>
            <family val="2"/>
          </rPr>
          <t>Voir schéma 1 ci-contre</t>
        </r>
      </text>
    </comment>
    <comment ref="I27" authorId="0" shapeId="0" xr:uid="{E7BD1754-4C84-4F15-BA0D-EB6EB34911F7}">
      <text>
        <r>
          <rPr>
            <sz val="9"/>
            <color indexed="81"/>
            <rFont val="Tahoma"/>
            <family val="2"/>
          </rPr>
          <t>Voir schéma 1 ci-contre</t>
        </r>
      </text>
    </comment>
    <comment ref="I32" authorId="0" shapeId="0" xr:uid="{969A0429-9CA3-4302-B111-C40F6E4CD1B7}">
      <text>
        <r>
          <rPr>
            <sz val="9"/>
            <color indexed="81"/>
            <rFont val="Tahoma"/>
            <family val="2"/>
          </rPr>
          <t>Voir explications sur le périmètre exposé sur le lien ci-contre</t>
        </r>
      </text>
    </comment>
    <comment ref="I34" authorId="0" shapeId="0" xr:uid="{4A80A85D-5F61-420B-9FB5-C0513D64E064}">
      <text>
        <r>
          <rPr>
            <sz val="9"/>
            <color indexed="81"/>
            <rFont val="Tahoma"/>
            <family val="2"/>
          </rPr>
          <t>Il s'agit de l'épaisseur des murs périphériques qui reposent sur la dalle de sol.</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Jonathan Matthews</author>
    <author>Raphaël Capart</author>
    <author>Pierre Demesmaecker</author>
    <author>Pierre DEMESMAECKER</author>
  </authors>
  <commentList>
    <comment ref="M31" authorId="0" shapeId="0" xr:uid="{2CD3F47D-5B8C-432C-B95F-A86431162821}">
      <text>
        <r>
          <rPr>
            <b/>
            <sz val="8"/>
            <color indexed="81"/>
            <rFont val="Tahoma"/>
            <family val="2"/>
          </rPr>
          <t xml:space="preserve">Conversion de kWh PCI vers kWh PCS ou l mazout dans l'onglet améliorations
</t>
        </r>
      </text>
    </comment>
    <comment ref="N31" authorId="1" shapeId="0" xr:uid="{96B562AA-C473-4D24-91D2-EBC5694F20DE}">
      <text>
        <r>
          <rPr>
            <b/>
            <sz val="9"/>
            <color indexed="81"/>
            <rFont val="Tahoma"/>
            <family val="2"/>
          </rPr>
          <t>Raphaël Capart:</t>
        </r>
        <r>
          <rPr>
            <sz val="9"/>
            <color indexed="81"/>
            <rFont val="Tahoma"/>
            <family val="2"/>
          </rPr>
          <t xml:space="preserve">
valeurs de l'annexe X de la méthode de certification et audit logement</t>
        </r>
      </text>
    </comment>
    <comment ref="O31" authorId="1" shapeId="0" xr:uid="{790A3927-9700-4367-ADD2-C546D219A4D4}">
      <text>
        <r>
          <rPr>
            <b/>
            <sz val="9"/>
            <color indexed="81"/>
            <rFont val="Tahoma"/>
            <family val="2"/>
          </rPr>
          <t>Raphaël Capart:</t>
        </r>
        <r>
          <rPr>
            <sz val="9"/>
            <color indexed="81"/>
            <rFont val="Tahoma"/>
            <family val="2"/>
          </rPr>
          <t xml:space="preserve">
valeurs de l'annexe X de la méthode de certification et audit logement</t>
        </r>
      </text>
    </comment>
    <comment ref="I33" authorId="2" shapeId="0" xr:uid="{6AAAE242-6330-42F3-926E-4F07DFB8DDA7}">
      <text>
        <r>
          <rPr>
            <sz val="9"/>
            <color indexed="81"/>
            <rFont val="Tahoma"/>
            <family val="2"/>
          </rPr>
          <t>AWAC 2020</t>
        </r>
      </text>
    </comment>
    <comment ref="I38" authorId="2" shapeId="0" xr:uid="{9B0F8177-8ACE-45EA-835D-20D0AC475BE3}">
      <text>
        <r>
          <rPr>
            <sz val="9"/>
            <color indexed="81"/>
            <rFont val="Tahoma"/>
            <family val="2"/>
          </rPr>
          <t xml:space="preserve">AWAC 2020
</t>
        </r>
      </text>
    </comment>
    <comment ref="P39" authorId="3" shapeId="0" xr:uid="{C24A2E00-47EB-4DED-A03F-11C3B76584A4}">
      <text>
        <r>
          <rPr>
            <b/>
            <sz val="9"/>
            <color indexed="81"/>
            <rFont val="Tahoma"/>
            <family val="2"/>
          </rPr>
          <t>Source :  https://jeodpp.jrc.ec.europa.eu/ftp/public/JRC-OpenData/CoM/EmissionsFactorElectricity/CoM-Emission-factors-for-national-electricity-2024.xlsx</t>
        </r>
      </text>
    </comment>
    <comment ref="B106" authorId="3" shapeId="0" xr:uid="{43E3E1C2-941C-428A-B2E6-ACE922C82000}">
      <text>
        <r>
          <rPr>
            <b/>
            <sz val="9"/>
            <color indexed="81"/>
            <rFont val="Tahoma"/>
            <family val="2"/>
          </rPr>
          <t>3 étant la valeur par défaut de la méthode B de la PEB.  Cette valeur semble excessive, en particulier sur des grands ensembles</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<sst xmlns="http://schemas.openxmlformats.org/spreadsheetml/2006/main" count="3891" uniqueCount="3400">
  <si>
    <t>Cet outil a été développé par le Facilitateur URE tertiaire (ICEDD) pour le SPW et est destiné aux responsables Energie des bâtiments tertiaires.</t>
  </si>
  <si>
    <t>Une clé d'interprétation des graphiques est reprise ci-bas.</t>
  </si>
  <si>
    <t>*NB : les valeurs U [W/m²K] font référence au coefficient de transfert</t>
  </si>
  <si>
    <t xml:space="preserve"> thermique d'une paroi. Ce chiffre permet de quantifier la facilité avec</t>
  </si>
  <si>
    <t xml:space="preserve"> laquelle la chaleur passe à travers un milieu. Autrement dit plus le </t>
  </si>
  <si>
    <t xml:space="preserve">U est élevé, plus la chaleur aura facile à traverser la paroi ce qui </t>
  </si>
  <si>
    <t>signifie une mauvaise isolation.</t>
  </si>
  <si>
    <t xml:space="preserve">*https://energieplus-lesite.be/calculs/enveloppe-d6/ </t>
  </si>
  <si>
    <t xml:space="preserve">Attention à utiliser ces outils avec prudence. Vérifier d'avoir des </t>
  </si>
  <si>
    <r>
      <t xml:space="preserve">valeurs U cohérentes avec l'onglet </t>
    </r>
    <r>
      <rPr>
        <i/>
        <sz val="10"/>
        <rFont val="Arial"/>
        <family val="2"/>
      </rPr>
      <t>Parois types.</t>
    </r>
  </si>
  <si>
    <t>* https://energie.wallonie.be/fr/08-03-debit-de-fuite-par-unite-de-surface-v50.html?IDC_PEB=9491&amp;IDD=113678&amp;IDC=9095</t>
  </si>
  <si>
    <t>*https://energie.wallonie.be/fr/exigences-peb-electromobilite.html?IDC=9136</t>
  </si>
  <si>
    <t>Clé d'interprétation de certains graphiques</t>
  </si>
  <si>
    <t>Les pertes d'exploitation de chauffage peuvent être négatives lorsque la production de chaleur est assurée par une pompe à chaleur.  En effet, la consommation électrique des pompes à chaleur est inférieure à la chaleur délivrée.  De ce fait, les pertes d'exploitation sont négatives (il y a davantage de chaleur fournie que d'énergie consommée).</t>
  </si>
  <si>
    <t>En situation rénovée, si la colonne "Gains + consommation en situation initiale" est plus élevée que la colonne "Pertes en situation initiale", cela signifie que certains mois de la saison de chauffe (a priori plutôt avril, mai, septembre et octobre) présentent des apports de chaleur supérieurs aux déperditions calculées.  La température intérieure réelle sera donc supérieure à celle utilisée pour le calcul des déperditions.</t>
  </si>
  <si>
    <t>Si le bilan pour les vitrages et portes est négatif, ceci signifie que ces surfaces présentent davantage d'apports (solaires) que de déperditions.  Dans ce cas, le graphique en forme de "tarte" n'est pas exploitable; on préférera plutôt un graphique à barre, illustrant mieux le poste négatif.</t>
  </si>
  <si>
    <t>Situation initiale</t>
  </si>
  <si>
    <t>- encodez les données relatives à votre situation dans les cases bleues.</t>
  </si>
  <si>
    <t>- les résultats sont repris dans les cases jaunes.</t>
  </si>
  <si>
    <t>1°</t>
  </si>
  <si>
    <t>Encodage des consommations de combustible réelles dédiées au chauffage et des consommations électriques</t>
  </si>
  <si>
    <t>Electricité non verte achetée</t>
  </si>
  <si>
    <t>kWh/an</t>
  </si>
  <si>
    <t>Electricité verte achetée</t>
  </si>
  <si>
    <t>Production électrique annuelle (PV, éolien)</t>
  </si>
  <si>
    <t>Total électricité verte achetée et produite</t>
  </si>
  <si>
    <t>Coût unitaire électricité</t>
  </si>
  <si>
    <t>€ htva/kWh</t>
  </si>
  <si>
    <t>Nature combustible</t>
  </si>
  <si>
    <t>Consommation annuelle de combustible</t>
  </si>
  <si>
    <t>Consommation de combustible dévolue à l'ECS</t>
  </si>
  <si>
    <t>https://energieplus-lesite.be/wp-content/uploads/2015/06/ConsommationECS-1.zip</t>
  </si>
  <si>
    <t>Consommation annuelle pour le chauffage</t>
  </si>
  <si>
    <t>Emissions de CO2</t>
  </si>
  <si>
    <t>kg de CO2</t>
  </si>
  <si>
    <t>Coût unitaire combustible</t>
  </si>
  <si>
    <t>Consommation théorique (calculée)</t>
  </si>
  <si>
    <t>kWh PCI</t>
  </si>
  <si>
    <t>ratio théorique/réel</t>
  </si>
  <si>
    <t>Température moyenne intérieure recalculée sur base des consommations</t>
  </si>
  <si>
    <t>°C</t>
  </si>
  <si>
    <t>Il s'agit de la température moyenne intérieure des locaux calculée sur base de la consommation réelle.</t>
  </si>
  <si>
    <r>
      <t>Si vous ne connaissez pas les caractéristiques thermiques exactes de vos parois, vous pouvez accéder à une liste dans l'onglet "</t>
    </r>
    <r>
      <rPr>
        <b/>
        <sz val="10"/>
        <rFont val="Arial"/>
        <family val="2"/>
      </rPr>
      <t>Parois types</t>
    </r>
    <r>
      <rPr>
        <sz val="10"/>
        <rFont val="Arial"/>
        <family val="2"/>
      </rPr>
      <t>"</t>
    </r>
  </si>
  <si>
    <t xml:space="preserve">2° </t>
  </si>
  <si>
    <t>Caractéristiques de l'enveloppe</t>
  </si>
  <si>
    <t>Apports solaires</t>
  </si>
  <si>
    <t>Parois de la superficie de déperdition thermique</t>
  </si>
  <si>
    <r>
      <t>U</t>
    </r>
    <r>
      <rPr>
        <b/>
        <vertAlign val="subscript"/>
        <sz val="8"/>
        <rFont val="Arial"/>
        <family val="2"/>
      </rPr>
      <t>j</t>
    </r>
    <r>
      <rPr>
        <b/>
        <sz val="8"/>
        <rFont val="Arial"/>
        <family val="2"/>
      </rPr>
      <t xml:space="preserve">          [W/(m².K)]</t>
    </r>
  </si>
  <si>
    <r>
      <t>A</t>
    </r>
    <r>
      <rPr>
        <b/>
        <vertAlign val="subscript"/>
        <sz val="8"/>
        <rFont val="Arial"/>
        <family val="2"/>
      </rPr>
      <t>j</t>
    </r>
    <r>
      <rPr>
        <b/>
        <sz val="8"/>
        <rFont val="Arial"/>
        <family val="2"/>
      </rPr>
      <t xml:space="preserve">            [m²]</t>
    </r>
  </si>
  <si>
    <t>Facteur solaire (g)</t>
  </si>
  <si>
    <t>% ombrage (hiver)</t>
  </si>
  <si>
    <t>Orientation</t>
  </si>
  <si>
    <r>
      <t>U</t>
    </r>
    <r>
      <rPr>
        <b/>
        <vertAlign val="subscript"/>
        <sz val="8"/>
        <rFont val="Arial"/>
        <family val="2"/>
      </rPr>
      <t>j</t>
    </r>
    <r>
      <rPr>
        <b/>
        <sz val="8"/>
        <rFont val="Arial"/>
        <family val="2"/>
      </rPr>
      <t xml:space="preserve"> . A</t>
    </r>
    <r>
      <rPr>
        <b/>
        <vertAlign val="subscript"/>
        <sz val="8"/>
        <rFont val="Arial"/>
        <family val="2"/>
      </rPr>
      <t xml:space="preserve">j </t>
    </r>
    <r>
      <rPr>
        <b/>
        <sz val="8"/>
        <rFont val="Arial"/>
        <family val="2"/>
      </rPr>
      <t xml:space="preserve">       [W/K]</t>
    </r>
  </si>
  <si>
    <r>
      <t xml:space="preserve">S </t>
    </r>
    <r>
      <rPr>
        <b/>
        <sz val="8"/>
        <rFont val="Arial Narrow"/>
        <family val="2"/>
      </rPr>
      <t>U</t>
    </r>
    <r>
      <rPr>
        <b/>
        <sz val="8"/>
        <rFont val="Symbol"/>
        <family val="1"/>
        <charset val="2"/>
      </rPr>
      <t xml:space="preserve"> </t>
    </r>
    <r>
      <rPr>
        <b/>
        <vertAlign val="subscript"/>
        <sz val="8"/>
        <rFont val="Arial"/>
        <family val="2"/>
      </rPr>
      <t>j</t>
    </r>
    <r>
      <rPr>
        <b/>
        <sz val="8"/>
        <rFont val="Arial"/>
        <family val="2"/>
      </rPr>
      <t xml:space="preserve"> . A</t>
    </r>
    <r>
      <rPr>
        <b/>
        <vertAlign val="subscript"/>
        <sz val="8"/>
        <rFont val="Arial"/>
        <family val="2"/>
      </rPr>
      <t>j</t>
    </r>
    <r>
      <rPr>
        <b/>
        <sz val="8"/>
        <rFont val="Arial"/>
        <family val="2"/>
      </rPr>
      <t xml:space="preserve">         [W/K]</t>
    </r>
  </si>
  <si>
    <r>
      <t>a</t>
    </r>
    <r>
      <rPr>
        <b/>
        <vertAlign val="subscript"/>
        <sz val="8"/>
        <rFont val="Arial"/>
        <family val="2"/>
      </rPr>
      <t>j</t>
    </r>
  </si>
  <si>
    <r>
      <t>S</t>
    </r>
    <r>
      <rPr>
        <b/>
        <sz val="8"/>
        <rFont val="Arial"/>
        <family val="2"/>
      </rPr>
      <t xml:space="preserve"> a</t>
    </r>
    <r>
      <rPr>
        <b/>
        <vertAlign val="subscript"/>
        <sz val="8"/>
        <rFont val="Arial"/>
        <family val="2"/>
      </rPr>
      <t xml:space="preserve">j </t>
    </r>
    <r>
      <rPr>
        <b/>
        <sz val="8"/>
        <rFont val="Arial"/>
        <family val="2"/>
      </rPr>
      <t>. U</t>
    </r>
    <r>
      <rPr>
        <b/>
        <vertAlign val="subscript"/>
        <sz val="8"/>
        <rFont val="Arial"/>
        <family val="2"/>
      </rPr>
      <t>j</t>
    </r>
    <r>
      <rPr>
        <b/>
        <sz val="8"/>
        <rFont val="Arial"/>
        <family val="2"/>
      </rPr>
      <t xml:space="preserve"> .A</t>
    </r>
    <r>
      <rPr>
        <b/>
        <vertAlign val="subscript"/>
        <sz val="8"/>
        <rFont val="Arial"/>
        <family val="2"/>
      </rPr>
      <t>j</t>
    </r>
    <r>
      <rPr>
        <b/>
        <sz val="8"/>
        <rFont val="Arial"/>
        <family val="2"/>
      </rPr>
      <t xml:space="preserve">         [W/K]</t>
    </r>
  </si>
  <si>
    <t>Facteur réduction rayonnement</t>
  </si>
  <si>
    <t>Ensoleillement (kWh/m²)</t>
  </si>
  <si>
    <t>Apports solaires (kWh/hiver)</t>
  </si>
  <si>
    <t>1.</t>
  </si>
  <si>
    <t>Fenêtres</t>
  </si>
  <si>
    <t>Fenêtre 1</t>
  </si>
  <si>
    <t>nord-est</t>
  </si>
  <si>
    <t>Fenêtre 2</t>
  </si>
  <si>
    <t>Fenêtre 3</t>
  </si>
  <si>
    <t>Fenêtre 4</t>
  </si>
  <si>
    <t>Fenêtre 5</t>
  </si>
  <si>
    <t>Fenêtre 6</t>
  </si>
  <si>
    <t>Fenêtre 7</t>
  </si>
  <si>
    <t>Fenêtre 8</t>
  </si>
  <si>
    <t>Fenêtre 9</t>
  </si>
  <si>
    <t>Fenêtre 10</t>
  </si>
  <si>
    <t>Fenêtre 11</t>
  </si>
  <si>
    <t>Fenêtre 12</t>
  </si>
  <si>
    <t>Fenêtre 13</t>
  </si>
  <si>
    <t>Fenêtre 14</t>
  </si>
  <si>
    <t>Fenêtre 15</t>
  </si>
  <si>
    <t>Fenêtre 16</t>
  </si>
  <si>
    <t>Fenêtre 17</t>
  </si>
  <si>
    <t>Fenêtre 18</t>
  </si>
  <si>
    <t>Fenêtre 19</t>
  </si>
  <si>
    <t>Fenêtre 20</t>
  </si>
  <si>
    <t>Fenêtre 21</t>
  </si>
  <si>
    <t>Fenêtre 22</t>
  </si>
  <si>
    <t>Fenêtre 23</t>
  </si>
  <si>
    <t>Fenêtre 24</t>
  </si>
  <si>
    <t>Fenêtre 25</t>
  </si>
  <si>
    <t>Fenêtre 26</t>
  </si>
  <si>
    <t>Fenêtre 27</t>
  </si>
  <si>
    <t>Fenêtre 28</t>
  </si>
  <si>
    <t>Fenêtre 29</t>
  </si>
  <si>
    <t>Fenêtre 30</t>
  </si>
  <si>
    <t>Fenêtre 31</t>
  </si>
  <si>
    <t>Fenêtre 32</t>
  </si>
  <si>
    <t>Fenêtre 33</t>
  </si>
  <si>
    <t>Fenêtre 34</t>
  </si>
  <si>
    <t>Fenêtre 35</t>
  </si>
  <si>
    <t>Fenêtre 36</t>
  </si>
  <si>
    <t>Fenêtre 37</t>
  </si>
  <si>
    <t>Fenêtre 38</t>
  </si>
  <si>
    <t>Fenêtre 39</t>
  </si>
  <si>
    <t>Fenêtre 40</t>
  </si>
  <si>
    <t>2.</t>
  </si>
  <si>
    <t>Portes (non vitrées)</t>
  </si>
  <si>
    <t>Porte 1</t>
  </si>
  <si>
    <t>Porte 2</t>
  </si>
  <si>
    <t>Porte 3</t>
  </si>
  <si>
    <t>Bilan des portes et fenêtres (somme ou moyenne)</t>
  </si>
  <si>
    <t>3.</t>
  </si>
  <si>
    <t>Murs extérieurs</t>
  </si>
  <si>
    <t>mur ext 1</t>
  </si>
  <si>
    <t>mur ext 2</t>
  </si>
  <si>
    <t>mur ext 3</t>
  </si>
  <si>
    <t>mur ext 4</t>
  </si>
  <si>
    <t>mur ext 5</t>
  </si>
  <si>
    <t>mur ext 6</t>
  </si>
  <si>
    <t>mur ext 7</t>
  </si>
  <si>
    <t>mur ext 8</t>
  </si>
  <si>
    <t>mur ext 9</t>
  </si>
  <si>
    <t>mur ext 10</t>
  </si>
  <si>
    <t>4.</t>
  </si>
  <si>
    <t>Toitures et planchers de combles</t>
  </si>
  <si>
    <t>Toit 1</t>
  </si>
  <si>
    <t>Toit 2</t>
  </si>
  <si>
    <t>Toit 3</t>
  </si>
  <si>
    <t>Toit 4</t>
  </si>
  <si>
    <t>Toit 5</t>
  </si>
  <si>
    <t>Toit 6</t>
  </si>
  <si>
    <t>Toit 7</t>
  </si>
  <si>
    <t>Toit 8</t>
  </si>
  <si>
    <t>Toit 9</t>
  </si>
  <si>
    <t>Toit 10</t>
  </si>
  <si>
    <t>5.</t>
  </si>
  <si>
    <t>Sols sur ambiance extérieure</t>
  </si>
  <si>
    <t>Sol ext 1</t>
  </si>
  <si>
    <t>Sol ext 2</t>
  </si>
  <si>
    <t>6.</t>
  </si>
  <si>
    <t>Sols sur EANC</t>
  </si>
  <si>
    <t>Sol eanc 1</t>
  </si>
  <si>
    <t>Sol eanc 2</t>
  </si>
  <si>
    <t>7.</t>
  </si>
  <si>
    <t>Sols sur caves</t>
  </si>
  <si>
    <t>Sol sur caves 1</t>
  </si>
  <si>
    <t>Sol sur caves 2</t>
  </si>
  <si>
    <t>8.</t>
  </si>
  <si>
    <t>Sols sur terre-plein</t>
  </si>
  <si>
    <t>Sol terre 1</t>
  </si>
  <si>
    <t>Attention, valeurs U à calculer via l'onglet U_sol ou l'outil disponible sur Energie+</t>
  </si>
  <si>
    <t>Sol terre 2</t>
  </si>
  <si>
    <t xml:space="preserve">https://energieplus-lesite.be/wp-content/uploads/2015/06/U-planch-sol-fr.xlsx </t>
  </si>
  <si>
    <t>9.</t>
  </si>
  <si>
    <t>Murs contre terre ou cave</t>
  </si>
  <si>
    <t>Mur terre 1</t>
  </si>
  <si>
    <t>Mur terre 2</t>
  </si>
  <si>
    <t>10.</t>
  </si>
  <si>
    <t>Murs contre EANC</t>
  </si>
  <si>
    <t>Mur EANC 1</t>
  </si>
  <si>
    <t>Mur EANC 2</t>
  </si>
  <si>
    <t>Bilan des parois opaques (somme ou moyenne)</t>
  </si>
  <si>
    <t>12.</t>
  </si>
  <si>
    <t xml:space="preserve">TOTAUX (superficie de déperdition) </t>
  </si>
  <si>
    <r>
      <t>A</t>
    </r>
    <r>
      <rPr>
        <b/>
        <vertAlign val="subscript"/>
        <sz val="8"/>
        <rFont val="Arial"/>
        <family val="2"/>
      </rPr>
      <t>t</t>
    </r>
    <r>
      <rPr>
        <b/>
        <sz val="8"/>
        <rFont val="Arial"/>
        <family val="2"/>
      </rPr>
      <t xml:space="preserve"> = </t>
    </r>
    <r>
      <rPr>
        <b/>
        <sz val="8"/>
        <rFont val="Symbol"/>
        <family val="1"/>
        <charset val="2"/>
      </rPr>
      <t>S</t>
    </r>
    <r>
      <rPr>
        <b/>
        <sz val="8"/>
        <rFont val="Arial"/>
        <family val="2"/>
      </rPr>
      <t xml:space="preserve"> A</t>
    </r>
    <r>
      <rPr>
        <b/>
        <vertAlign val="subscript"/>
        <sz val="8"/>
        <rFont val="Arial"/>
        <family val="2"/>
      </rPr>
      <t>j</t>
    </r>
    <r>
      <rPr>
        <b/>
        <sz val="8"/>
        <rFont val="Arial"/>
        <family val="2"/>
      </rPr>
      <t xml:space="preserve"> = </t>
    </r>
  </si>
  <si>
    <r>
      <t>S</t>
    </r>
    <r>
      <rPr>
        <b/>
        <sz val="8"/>
        <rFont val="Arial"/>
        <family val="2"/>
      </rPr>
      <t xml:space="preserve"> a</t>
    </r>
    <r>
      <rPr>
        <b/>
        <vertAlign val="subscript"/>
        <sz val="8"/>
        <rFont val="Arial"/>
        <family val="2"/>
      </rPr>
      <t xml:space="preserve">j </t>
    </r>
    <r>
      <rPr>
        <b/>
        <sz val="8"/>
        <rFont val="Arial"/>
        <family val="2"/>
      </rPr>
      <t>. U</t>
    </r>
    <r>
      <rPr>
        <b/>
        <vertAlign val="subscript"/>
        <sz val="8"/>
        <rFont val="Arial"/>
        <family val="2"/>
      </rPr>
      <t>j</t>
    </r>
    <r>
      <rPr>
        <b/>
        <sz val="8"/>
        <rFont val="Arial"/>
        <family val="2"/>
      </rPr>
      <t xml:space="preserve"> .A</t>
    </r>
    <r>
      <rPr>
        <b/>
        <vertAlign val="subscript"/>
        <sz val="8"/>
        <rFont val="Arial"/>
        <family val="2"/>
      </rPr>
      <t>j</t>
    </r>
    <r>
      <rPr>
        <b/>
        <sz val="8"/>
        <rFont val="Arial"/>
        <family val="2"/>
      </rPr>
      <t xml:space="preserve"> = </t>
    </r>
  </si>
  <si>
    <t>Volume protégé du bâtiment (V)</t>
  </si>
  <si>
    <t>m³</t>
  </si>
  <si>
    <t>Um hors nœuds constructifs</t>
  </si>
  <si>
    <t>W/m².K</t>
  </si>
  <si>
    <t>Compacité</t>
  </si>
  <si>
    <t>m</t>
  </si>
  <si>
    <t>Niveau K hors nœuds constructifs</t>
  </si>
  <si>
    <t>Les nœuds constructifs sont-ils conformes ?</t>
  </si>
  <si>
    <t>Oui, tous</t>
  </si>
  <si>
    <t>Supplément en points K</t>
  </si>
  <si>
    <t>Niveau d'isolation thermique globale (K) tenant compte des nœuds constructifs</t>
  </si>
  <si>
    <t>Um tenant compte des nœuds constructifs</t>
  </si>
  <si>
    <t>Déperditions thermiques de la superficie de déperdition (tenant compte des nœuds constructifs)</t>
  </si>
  <si>
    <t>W/K</t>
  </si>
  <si>
    <t>Déperditions conductives</t>
  </si>
  <si>
    <t>kWh</t>
  </si>
  <si>
    <t>Déperditions des nœuds constructifs</t>
  </si>
  <si>
    <t xml:space="preserve">3° </t>
  </si>
  <si>
    <t>Détermination des besoins de chauffage</t>
  </si>
  <si>
    <t>Situation géographique</t>
  </si>
  <si>
    <t>Commune</t>
  </si>
  <si>
    <t>Namur</t>
  </si>
  <si>
    <t>Température extérieure de base</t>
  </si>
  <si>
    <t xml:space="preserve">°C </t>
  </si>
  <si>
    <t>Degrés-Jours du lieu en base 15/15</t>
  </si>
  <si>
    <t>Température extérieure hivernale moyenne</t>
  </si>
  <si>
    <t>Durée de la saison de chauffe</t>
  </si>
  <si>
    <t>jours</t>
  </si>
  <si>
    <t>Inétanchéité à l'air</t>
  </si>
  <si>
    <t>mauvais</t>
  </si>
  <si>
    <t>faible</t>
  </si>
  <si>
    <t>moyen</t>
  </si>
  <si>
    <t>élevé</t>
  </si>
  <si>
    <t>niveau d'étanchéité à l'air</t>
  </si>
  <si>
    <t>m³/h,m²</t>
  </si>
  <si>
    <t>Estimation du volume d'air intérieur</t>
  </si>
  <si>
    <t>n50</t>
  </si>
  <si>
    <t xml:space="preserve">1/h </t>
  </si>
  <si>
    <t>Renouvellement d'air moyen par inétanchéité à l'air</t>
  </si>
  <si>
    <t>1/h</t>
  </si>
  <si>
    <t>Renouvellement d'air (dimensionnement) par inétanchéité à l'air</t>
  </si>
  <si>
    <t>Déperditions par inétanchéité à l'air</t>
  </si>
  <si>
    <t>ventilation hygiénique</t>
  </si>
  <si>
    <t>Nombre maximum de personnes présentes dans le bâtiment</t>
  </si>
  <si>
    <t>Débit de conception (30m³/h,personne)</t>
  </si>
  <si>
    <t>m³/h</t>
  </si>
  <si>
    <t>Si connu, débit calculé selon la NBN EN 13779</t>
  </si>
  <si>
    <t>Nbre heures utilisation journalière si débit calculé par NBN EN 13779</t>
  </si>
  <si>
    <t>h</t>
  </si>
  <si>
    <t>Détermination du débit moyen en occupation courante</t>
  </si>
  <si>
    <t>Nbre de personnes présentes en même temps</t>
  </si>
  <si>
    <t>Nbres d'heures occupation/jour</t>
  </si>
  <si>
    <t>Occupation (nbre jours/semaine)</t>
  </si>
  <si>
    <t>jours/semaine</t>
  </si>
  <si>
    <t>Débit moyen</t>
  </si>
  <si>
    <t>De quel type de ventilation s'agit-il?</t>
  </si>
  <si>
    <t>Absence de système de ventilation</t>
  </si>
  <si>
    <t xml:space="preserve">Rendement de récupération de chaleur </t>
  </si>
  <si>
    <t>%</t>
  </si>
  <si>
    <t>Déperditions par ventilation hygiénique</t>
  </si>
  <si>
    <t>Consommation électrique des ventilateurs</t>
  </si>
  <si>
    <t>€</t>
  </si>
  <si>
    <t>Renouvellement d'air</t>
  </si>
  <si>
    <t>Faiblement ventilé</t>
  </si>
  <si>
    <t>Normalement ventilé</t>
  </si>
  <si>
    <t>Estimation qualité ventilation</t>
  </si>
  <si>
    <t>Renouvellement (dimensionnement)</t>
  </si>
  <si>
    <t>Renouvellement moyen</t>
  </si>
  <si>
    <t>Déperditions aérauliques</t>
  </si>
  <si>
    <t xml:space="preserve">Type de bâtiment </t>
  </si>
  <si>
    <t xml:space="preserve">Valeurs moyennes indicatives </t>
  </si>
  <si>
    <t>Home/Hôpital</t>
  </si>
  <si>
    <t>Bureaux</t>
  </si>
  <si>
    <t>Habitat</t>
  </si>
  <si>
    <t xml:space="preserve">Ecole </t>
  </si>
  <si>
    <t>Température intérieure moyenne des locaux en occupation</t>
  </si>
  <si>
    <t>°C     --&gt;</t>
  </si>
  <si>
    <t>24 °C</t>
  </si>
  <si>
    <t>21°C</t>
  </si>
  <si>
    <t>20 °C</t>
  </si>
  <si>
    <t>Réduction pour coupure de nuit et de WE</t>
  </si>
  <si>
    <t xml:space="preserve"> K     --&gt;</t>
  </si>
  <si>
    <t>0 K</t>
  </si>
  <si>
    <t>3 K</t>
  </si>
  <si>
    <t>2 K</t>
  </si>
  <si>
    <t>6 K (*)</t>
  </si>
  <si>
    <t>Température moyenne intérieure</t>
  </si>
  <si>
    <t>(*) congés scolaires compris; si cours du soir, prendre 4,5 K</t>
  </si>
  <si>
    <t>Température moyenne intérieure recalculée sur base des consommations :</t>
  </si>
  <si>
    <t>Apports internes</t>
  </si>
  <si>
    <t>Affectation du bâtiment</t>
  </si>
  <si>
    <t>Commerces et bureaux</t>
  </si>
  <si>
    <t>Surface de plancher chauffé</t>
  </si>
  <si>
    <t>m²</t>
  </si>
  <si>
    <t>Apports des équipements et éclairage</t>
  </si>
  <si>
    <t>Nbre moyen de personnes</t>
  </si>
  <si>
    <t>personnes</t>
  </si>
  <si>
    <t>Apports des personnes</t>
  </si>
  <si>
    <t>Apports par les vitrages</t>
  </si>
  <si>
    <t>kWh/saison de chauffe</t>
  </si>
  <si>
    <t>Bilan des puissances</t>
  </si>
  <si>
    <t>Pertes par ventilation et inétanchéité à l'air</t>
  </si>
  <si>
    <t>kW</t>
  </si>
  <si>
    <t xml:space="preserve">Pertes par parois </t>
  </si>
  <si>
    <t>Puissance chaudière</t>
  </si>
  <si>
    <t>hors éventuel surdimensionnement pour la relance</t>
  </si>
  <si>
    <t>Installation de chauffage</t>
  </si>
  <si>
    <t>Rendement de combustion de la chaudière</t>
  </si>
  <si>
    <t>Rendement de combustion entre 90 et 92%</t>
  </si>
  <si>
    <t>Puissance cumulée des chaudières présentes</t>
  </si>
  <si>
    <t>Estimation du nombre d'heures théorique de fonctionnement à puissance nominale</t>
  </si>
  <si>
    <t>heures</t>
  </si>
  <si>
    <t>Estimation du surdimensionnement</t>
  </si>
  <si>
    <t>Estimation du rendement saisonnier de production</t>
  </si>
  <si>
    <t>Conduites de chauffage hors du volume chauffé</t>
  </si>
  <si>
    <t>Correctement isolées</t>
  </si>
  <si>
    <t>Rendement de distribution</t>
  </si>
  <si>
    <t>Positionnement des radiateurs</t>
  </si>
  <si>
    <t>Souvent devant des murs non isolés</t>
  </si>
  <si>
    <t>Rendement d'émission</t>
  </si>
  <si>
    <t>Régulation de l'installation</t>
  </si>
  <si>
    <t>Moyenne</t>
  </si>
  <si>
    <t>Rendement de régulation</t>
  </si>
  <si>
    <t>Rendement global de l'installation de chauffage</t>
  </si>
  <si>
    <t xml:space="preserve">4° </t>
  </si>
  <si>
    <t>Bilan énergétique (chauffage)</t>
  </si>
  <si>
    <t>Les calculs ci-après sont réalisés sur base des caractéristiques du bâtiment encodées ci-avant (modèle théorique du bâtiment).  Ce modèle théorique a cependant été recalibré sur base de la consommation réelle afin que les résultats soient plus proches de la réalité.</t>
  </si>
  <si>
    <t>Deperditions (kWh/an)</t>
  </si>
  <si>
    <t>Apports (kWh/an)</t>
  </si>
  <si>
    <t>Bilan (kWh/an)</t>
  </si>
  <si>
    <t>Pourcentage conso</t>
  </si>
  <si>
    <t>Equivalent combustible (litres ou m³ ou kWhPCS/an)</t>
  </si>
  <si>
    <t>Surfaces de déperdition</t>
  </si>
  <si>
    <t xml:space="preserve">Toiture </t>
  </si>
  <si>
    <t>Murs</t>
  </si>
  <si>
    <t>Vitrages - portes</t>
  </si>
  <si>
    <t>Planchers</t>
  </si>
  <si>
    <t>Nœuds constructifs</t>
  </si>
  <si>
    <t xml:space="preserve">total </t>
  </si>
  <si>
    <t>Apports</t>
  </si>
  <si>
    <t>total apports</t>
  </si>
  <si>
    <t>Besoins nets en chauffage</t>
  </si>
  <si>
    <t>Pertes exploitation chauffage</t>
  </si>
  <si>
    <t>Estimation consommations</t>
  </si>
  <si>
    <t>pertes</t>
  </si>
  <si>
    <t>Déperditions</t>
  </si>
  <si>
    <t>gains + consommation</t>
  </si>
  <si>
    <t>Surfaces</t>
  </si>
  <si>
    <t xml:space="preserve">5° </t>
  </si>
  <si>
    <t>Bilan CO2</t>
  </si>
  <si>
    <t>Emissions CO2</t>
  </si>
  <si>
    <t>Combustible</t>
  </si>
  <si>
    <t>kg/an</t>
  </si>
  <si>
    <t>Electricité non-verte achetée</t>
  </si>
  <si>
    <t>Total</t>
  </si>
  <si>
    <t>Compensation CO2</t>
  </si>
  <si>
    <t>Electricité produite (PV, éolien)</t>
  </si>
  <si>
    <t>Situation rénovée</t>
  </si>
  <si>
    <t>ces cases bleues sont des informations nouvelles à encoder, ou qui devraient être différentes de la situation initiale</t>
  </si>
  <si>
    <t>- ces cases peuvent être modifiées mais par défaut, elles correspondent à la situation initiale</t>
  </si>
  <si>
    <t>vecteur énergétique</t>
  </si>
  <si>
    <t>Ces colonnes de résultats sont à exploiter après avoir complété l'ensemble de la feuille.</t>
  </si>
  <si>
    <t>cout vecteur énergétique</t>
  </si>
  <si>
    <t>cout unitaire combustible</t>
  </si>
  <si>
    <t>Cout unitaire [€/m²]</t>
  </si>
  <si>
    <t>Investissement [€]</t>
  </si>
  <si>
    <t>Uj reno     [W/(m².K)]</t>
  </si>
  <si>
    <r>
      <t>A</t>
    </r>
    <r>
      <rPr>
        <b/>
        <vertAlign val="subscript"/>
        <sz val="8"/>
        <rFont val="Arial"/>
        <family val="2"/>
      </rPr>
      <t>j</t>
    </r>
    <r>
      <rPr>
        <b/>
        <sz val="8"/>
        <rFont val="Arial"/>
        <family val="2"/>
      </rPr>
      <t xml:space="preserve"> reno           [m²]</t>
    </r>
  </si>
  <si>
    <t>Facteur solaire reno (g)</t>
  </si>
  <si>
    <t>% ombrage reno (hiver)</t>
  </si>
  <si>
    <t>Orientation reno</t>
  </si>
  <si>
    <t>Delat Uj     [W/(m².K)]</t>
  </si>
  <si>
    <t>Gain kWh énergie finale</t>
  </si>
  <si>
    <t>Gain €</t>
  </si>
  <si>
    <t>TRS</t>
  </si>
  <si>
    <t>Bilan Total</t>
  </si>
  <si>
    <t>Estimation de la qualité des jonctions entre les isolants</t>
  </si>
  <si>
    <t>Est-ce que les isolants des types de parois suivantes sont-ils jointifs (nœuds peb-conformes) ?  Pour qu'un nœud soit PEB conforme, il doit répondre à l'une des trois règle de base illustrée ci-contre.</t>
  </si>
  <si>
    <t>Une jonction entre une paroi isolée et une paroi non isolée peut être considérée comme une jonction continue (il n'y a pas de pénalité sur les points K).
Une jonction partiellement continue signifie que les nœuds constructifs entre ces parois ne sont pas tous conformes ou pas partout conformes.
"Non continue" s'utilise si, entre parois isolées, aucune des jonctions n'est PEB-conforme.</t>
  </si>
  <si>
    <t>Entre les différentes façades extérieures</t>
  </si>
  <si>
    <t>Jonctions continues</t>
  </si>
  <si>
    <t>Entre les façades et les toits</t>
  </si>
  <si>
    <t>Entre les façades et les fenêtres</t>
  </si>
  <si>
    <t>Entre les façades et les planchers inférieurs</t>
  </si>
  <si>
    <t>Jonctions non continues</t>
  </si>
  <si>
    <t>Avec les parois des espaces non chauffés</t>
  </si>
  <si>
    <t>Supplément points K</t>
  </si>
  <si>
    <t>TOTAL</t>
  </si>
  <si>
    <t>Janvier</t>
  </si>
  <si>
    <t>février</t>
  </si>
  <si>
    <t>mars</t>
  </si>
  <si>
    <t>avril</t>
  </si>
  <si>
    <t>mai</t>
  </si>
  <si>
    <t>juin</t>
  </si>
  <si>
    <t>juillet</t>
  </si>
  <si>
    <t>aout</t>
  </si>
  <si>
    <t>septembre</t>
  </si>
  <si>
    <t>octobre</t>
  </si>
  <si>
    <t>novembre</t>
  </si>
  <si>
    <t>décembre</t>
  </si>
  <si>
    <t xml:space="preserve">Une température extérieure hivernale moyenne équivalente </t>
  </si>
  <si>
    <t>est alors déduite des degrés-jours du lieu.</t>
  </si>
  <si>
    <t xml:space="preserve">Ex à Bruxelles : 2087 D°J en base 15, tout se passe donc comme </t>
  </si>
  <si>
    <t>si l'hiver durait 242 jours à une température de 15 - 2087/242 = 6,4 °C</t>
  </si>
  <si>
    <t>Température intérieure moyenne des locaux</t>
  </si>
  <si>
    <t>(source : données UREBA)</t>
  </si>
  <si>
    <t>Température moyenne intérieure utilisée pour le calcul (idem situation initiale)</t>
  </si>
  <si>
    <t>L'outil prend en compte par défaut que la température intérieure moyenne en situation rénovée est identique à la situation initiale.  Ceci implique que l'occupant ne va pas changer son comportement.  En pratique cependant, il est fort probable que l'isolation et l'amélioration de l'étanchéité à l'air incitent et induisent une augmentation de la température intérieure (effet rebond).  L'hypothèse prise ici est donc peu réaliste mais permet de comparer la situation initiale et la situation rénovée "toutes choses étant égales par ailleurs".  Pour une simulation plus proche de la réalité future, vous pouvez remplacer la cellule "Temp_SR" (température moyenne intérieure utilisée pour le calcul des déperditions) par une température plus proche de la future température moyenne intérieure.</t>
  </si>
  <si>
    <t>investissement amélioration étanchéité</t>
  </si>
  <si>
    <t>Volume d'air intérieur</t>
  </si>
  <si>
    <t>Déperditions par étanchéité à l'air</t>
  </si>
  <si>
    <t>investissement ventilation hygiénique</t>
  </si>
  <si>
    <t>Nombre maximum de personnes présentes</t>
  </si>
  <si>
    <t>Bilan sur base de débits moyens estimés</t>
  </si>
  <si>
    <t>Débit de conception</t>
  </si>
  <si>
    <t>Bilan tenant compte des débits normatifs</t>
  </si>
  <si>
    <t>Nbre heures utilisation journalières si débit calculé par NBN EN 13779</t>
  </si>
  <si>
    <t>Détermination du débit moyen</t>
  </si>
  <si>
    <t>débit moyen</t>
  </si>
  <si>
    <t>Ventilation mécanique double flux</t>
  </si>
  <si>
    <t>Renouvellement d'air (inétanchéité à l'air ET ventilation hygiénique)</t>
  </si>
  <si>
    <t>Investisement amélioration chaufferie</t>
  </si>
  <si>
    <t>Chaudière à condensation (t° eau de retour entre 45 et 55°C)</t>
  </si>
  <si>
    <t>Devant des murs isolés ou des murs intérieurs</t>
  </si>
  <si>
    <t>Performante</t>
  </si>
  <si>
    <t>Méthode annuelle</t>
  </si>
  <si>
    <t>Méthode mensuelle</t>
  </si>
  <si>
    <t>Pertes-apports (kWh/an)</t>
  </si>
  <si>
    <t>Bilan énergie finale (kWh)</t>
  </si>
  <si>
    <t>Estimations émissions de CO2</t>
  </si>
  <si>
    <t>Superficie équivalente de panneaux PV pour compenser les émissions résiduelles de l'installation de chauffage</t>
  </si>
  <si>
    <t>Pertes en situation initiale</t>
  </si>
  <si>
    <t>Gains + consommation en situation initiale</t>
  </si>
  <si>
    <t>Pertes en situation rénovée</t>
  </si>
  <si>
    <t>Gains + consommation en situation rénovée</t>
  </si>
  <si>
    <t>Synthèses des améliorations</t>
  </si>
  <si>
    <t>Sommes des investissements</t>
  </si>
  <si>
    <t>Gain énergétique</t>
  </si>
  <si>
    <t>Gain financier</t>
  </si>
  <si>
    <t>TRS hors subside</t>
  </si>
  <si>
    <t>ans</t>
  </si>
  <si>
    <t>Montant des subsides</t>
  </si>
  <si>
    <t>TRS avec subside</t>
  </si>
  <si>
    <t xml:space="preserve">6° </t>
  </si>
  <si>
    <t xml:space="preserve">Attention, ce bilan est simplifié par rapport à la définition de neutralité carbone de la stratégie wallonne de rénovation.  </t>
  </si>
  <si>
    <t>Il considère le maintient des autres consommations électriques au niveau actuel et ne vérifie que la couverture des besoins par une production renouvelable (autoproduite ou achetée).</t>
  </si>
  <si>
    <t>L'outil n'évalue donc pas la diminution des besoins par rapport à un bâtiment neuf équivalent.</t>
  </si>
  <si>
    <t>Consos électriques non-vertes</t>
  </si>
  <si>
    <t>Emissions totales</t>
  </si>
  <si>
    <t>Si je n'ai pas encore de contrat de fourniture d'électricité verte, puis-je changer celui-ci en électricité verte?</t>
  </si>
  <si>
    <t>oui</t>
  </si>
  <si>
    <t>Emissions CO2 à compenser</t>
  </si>
  <si>
    <t>Pour compenser ces émissions, il faudrait par exemple produire, en photovoltaïque :</t>
  </si>
  <si>
    <t xml:space="preserve">ceci correspond à </t>
  </si>
  <si>
    <t>m² de PV en plus de l'éventuelle production actuelle</t>
  </si>
  <si>
    <t>Quelle surface de panneau PV puis-je raisonnablement installer?</t>
  </si>
  <si>
    <t>Production élec estimée</t>
  </si>
  <si>
    <t>Emissions CO2 évitées grâce au PV</t>
  </si>
  <si>
    <t>Bilan émissions CO2</t>
  </si>
  <si>
    <t>Consos électriques initiales</t>
  </si>
  <si>
    <t>Passage à l'électricité verte</t>
  </si>
  <si>
    <t>Production renouvelable</t>
  </si>
  <si>
    <t>Sources émission CO2 en situation initiale</t>
  </si>
  <si>
    <t>Compensation CO2 en situation initiale</t>
  </si>
  <si>
    <t>Sources émission CO2 en situation rénovée</t>
  </si>
  <si>
    <t>Compensation CO2 en situation rénovée</t>
  </si>
  <si>
    <t>Feuille de calcul pour le calcul détaillé du coefficient U afin de tenir compte des transmission thermiques des planchers directement en contact avec le sol</t>
  </si>
  <si>
    <t>UCL, version septembre 2016</t>
  </si>
  <si>
    <t>Introduction</t>
  </si>
  <si>
    <t>Cette feuille de calcul offre la possibilité d'exécuter un calcul détaillé du coefficient U afin de tenir compte des pertes par transmission thermique pour les planchers en contact direct avec le sol. Ce calcul est décrit à l'annexe F.2.2 de l'arrêté ministériel déterminant les règles pour le calcul des pertes par transmission du 24 juillet 2008. Le calcul détaillé fournit souvent une valeur de coefficient U plus favorable que celle obtenue suivant la méthode simplifiée, cette dernière étant implémentée dans le logiciel EPB-Software. Globalement le coefficient U est obtenu en suivant quatre étapes simples</t>
  </si>
  <si>
    <t>Limitations</t>
  </si>
  <si>
    <t>La méthode de calcul détaillée, et donc également cette feuille de travail, est uniquement valable pour des planchers qui sont constitués d'une dalle de sol dont toute la surface est en contact avec le sol (supportée entièrement ou non par le sol) et qui se trouve au même niveau que le sol naturel ou proche de celui-ci. La dalle de sol peut être non isolée, isolée de manière régulière ou isolée sur toute la surface ou partiellement (par exemple isolation périphérique). Outre cela, on ne peut pas introduire l'isolation périphérique dans cette feuille de calcul lorsque son effet a déjà été pris en compte lors de la détermination du coefficient de transmission thermique linéaire du raccordement sol-mur extérieur-fondation (pour le calcul de pont thermique).</t>
  </si>
  <si>
    <t>En pratique</t>
  </si>
  <si>
    <t>- encodez les données concernant votre projet dans les cases bleues.</t>
  </si>
  <si>
    <t>Question préalables</t>
  </si>
  <si>
    <t>Une isolation périphérique horizontale est-elle présente ?</t>
  </si>
  <si>
    <t>non</t>
  </si>
  <si>
    <t>Une isolation périphérique verticale est-elle présente ?</t>
  </si>
  <si>
    <t>Caractéristiques géométriques et thermiques</t>
  </si>
  <si>
    <t>Plancher</t>
  </si>
  <si>
    <t>Surface totale en contact avec le sol :</t>
  </si>
  <si>
    <t>Périmètre exposé à lenvironnement extérieur :</t>
  </si>
  <si>
    <t xml:space="preserve">https://energie.wallonie.be/fr/06-06-perimetre-expose.html?IDC_PEB=9491&amp;IDD=113624&amp;IDC=9093  </t>
  </si>
  <si>
    <t>Mur extérieur</t>
  </si>
  <si>
    <t>Épaisseur totale :</t>
  </si>
  <si>
    <t>Isolation de bord</t>
  </si>
  <si>
    <t>Largeur ou profondeur (D):</t>
  </si>
  <si>
    <t>Épaisseur (d):</t>
  </si>
  <si>
    <t>Conductibilité thermique (lambda)</t>
  </si>
  <si>
    <t>W/mK</t>
  </si>
  <si>
    <t>Couches constituant la dalle de sol sur terre-plein</t>
  </si>
  <si>
    <t>R</t>
  </si>
  <si>
    <t xml:space="preserve">Couche 1 : </t>
  </si>
  <si>
    <t>Béton</t>
  </si>
  <si>
    <t>m²K/W</t>
  </si>
  <si>
    <t>Couche 2 :</t>
  </si>
  <si>
    <t>Isolation</t>
  </si>
  <si>
    <t xml:space="preserve">Couche 3 : </t>
  </si>
  <si>
    <t>Chape</t>
  </si>
  <si>
    <t>Couche 4 :</t>
  </si>
  <si>
    <t>Carreaux de sol</t>
  </si>
  <si>
    <t>Couche 5 :</t>
  </si>
  <si>
    <t>xxx</t>
  </si>
  <si>
    <t>Couche 6 :</t>
  </si>
  <si>
    <t>Couche 7 :</t>
  </si>
  <si>
    <t>Couche 8 :</t>
  </si>
  <si>
    <t>Couche 9 :</t>
  </si>
  <si>
    <t>Couche 10 :</t>
  </si>
  <si>
    <t>Résultats</t>
  </si>
  <si>
    <t>Résistance thermique totale du plancher :</t>
  </si>
  <si>
    <t>Coefficient U équivalent du plancher :</t>
  </si>
  <si>
    <t>W/m²K</t>
  </si>
  <si>
    <t>Calcul de B' :</t>
  </si>
  <si>
    <t xml:space="preserve">Calcul de dt : </t>
  </si>
  <si>
    <t>Calcul de U0 :</t>
  </si>
  <si>
    <t>Calcul de d' :</t>
  </si>
  <si>
    <t>Ψe</t>
  </si>
  <si>
    <t>isolation horizontale</t>
  </si>
  <si>
    <t>isolation verticale</t>
  </si>
  <si>
    <t>Ψe :</t>
  </si>
  <si>
    <t>Apports solaires (source: xls de SNFA)</t>
  </si>
  <si>
    <t>Ensoleillement façade, octobre à avril (kWh/m²)</t>
  </si>
  <si>
    <t>Répartition mensuelle des apports solaires</t>
  </si>
  <si>
    <t>nord</t>
  </si>
  <si>
    <t>janvier</t>
  </si>
  <si>
    <t>août</t>
  </si>
  <si>
    <t>est</t>
  </si>
  <si>
    <t>sud-est</t>
  </si>
  <si>
    <t>sud</t>
  </si>
  <si>
    <t>sud-ouest</t>
  </si>
  <si>
    <t>ouest</t>
  </si>
  <si>
    <t>nord-ouest</t>
  </si>
  <si>
    <t>facteurs réduction vitrage</t>
  </si>
  <si>
    <t>salissures (source PHHP)</t>
  </si>
  <si>
    <t>rayonnement non perpendiculaire (source PHPP)</t>
  </si>
  <si>
    <t>70% surface vitrée (source : PEB lorsque Ug&lt;Uf)</t>
  </si>
  <si>
    <t>facteur global</t>
  </si>
  <si>
    <t>Apports internes (source :  PEN2018)</t>
  </si>
  <si>
    <t>W/pers</t>
  </si>
  <si>
    <t>W/m² (équipement)</t>
  </si>
  <si>
    <t>Hébergement</t>
  </si>
  <si>
    <t>Soin santé</t>
  </si>
  <si>
    <t>source AWAC https://awac.be/wp-content/uploads/2022/12/Fuel-Conversion-Factors_AwAC_2020.pdf en phase de fonctionnement</t>
  </si>
  <si>
    <t>Ecoles</t>
  </si>
  <si>
    <t>Sport</t>
  </si>
  <si>
    <t>Combustible utilisé par la chaufferie</t>
  </si>
  <si>
    <t>Unité</t>
  </si>
  <si>
    <t>PCS MJ/m³ ou litre</t>
  </si>
  <si>
    <t>PCI MJ/m³ ou litre ou kg</t>
  </si>
  <si>
    <t>kWh pcs/m³ ou litre</t>
  </si>
  <si>
    <t>kWh pci/kWhPCS ou litre ou kg</t>
  </si>
  <si>
    <t>PCI/PCS</t>
  </si>
  <si>
    <t>Conversion de €/unité en €/kWh</t>
  </si>
  <si>
    <t>fCO2 [kg CO2/unité]</t>
  </si>
  <si>
    <t>fCO2 [kg CO2/MJ]</t>
  </si>
  <si>
    <t>fCO2 [kg CO2/kWh]</t>
  </si>
  <si>
    <t>Gaz pauvre L - G25 (anciennement Bruxelles et brabant wallon)</t>
  </si>
  <si>
    <t>kWh PCS</t>
  </si>
  <si>
    <t>€ htva/kWh PCS</t>
  </si>
  <si>
    <t>Gaz riche H - G20 (Wallonie, récemment à Bruxelles et Brabant Wallon)</t>
  </si>
  <si>
    <t>Fuel</t>
  </si>
  <si>
    <t>litre</t>
  </si>
  <si>
    <t>€ htva/litre</t>
  </si>
  <si>
    <t xml:space="preserve">Pellet </t>
  </si>
  <si>
    <t>kg</t>
  </si>
  <si>
    <t>€ htva/kg</t>
  </si>
  <si>
    <t>Bois bûche</t>
  </si>
  <si>
    <t>Bois plaquettes</t>
  </si>
  <si>
    <t>€ htva/tonne</t>
  </si>
  <si>
    <t>Propane</t>
  </si>
  <si>
    <t>Electricité</t>
  </si>
  <si>
    <t>Electicité verte</t>
  </si>
  <si>
    <t>Cellule :</t>
  </si>
  <si>
    <t>Cellule réno :</t>
  </si>
  <si>
    <t>Unité combustible</t>
  </si>
  <si>
    <t>C &lt;=1</t>
  </si>
  <si>
    <t>1 &lt; C &lt; 4</t>
  </si>
  <si>
    <t>4&lt;= C</t>
  </si>
  <si>
    <t>Non</t>
  </si>
  <si>
    <t>Chaudière</t>
  </si>
  <si>
    <t>surdimensionné</t>
  </si>
  <si>
    <t>dimensionnement ok</t>
  </si>
  <si>
    <t>Rendement de combustion inférieur à 90%</t>
  </si>
  <si>
    <t>Rendement de combustion supérieur à 92% mais pas à condensation</t>
  </si>
  <si>
    <t>Chaudière à condensation (t° eau de retour &gt; 55°C)</t>
  </si>
  <si>
    <t>Chaudière à condensation (t° eau de retour &lt; 45°C)</t>
  </si>
  <si>
    <t>PAC air-air</t>
  </si>
  <si>
    <t>PAC air-eau</t>
  </si>
  <si>
    <t>PAC sol-eau</t>
  </si>
  <si>
    <t>PAC eau-eau</t>
  </si>
  <si>
    <t>Chaudière bûches ou plaquettes, à foyer montant</t>
  </si>
  <si>
    <t>Chaudière bûches ou plaquettes, à foyer inversé</t>
  </si>
  <si>
    <t>Chaudière pellet</t>
  </si>
  <si>
    <t>Chaudière à autre biomasse</t>
  </si>
  <si>
    <t>Electricité directe</t>
  </si>
  <si>
    <t>Distribution</t>
  </si>
  <si>
    <t>Pas isolée</t>
  </si>
  <si>
    <t>Isolée à l'ancienne</t>
  </si>
  <si>
    <t>Pas de conduites hors volume chauffé</t>
  </si>
  <si>
    <t>Souvent devant les vitrages</t>
  </si>
  <si>
    <t>Régulation de l'installation de chauffage</t>
  </si>
  <si>
    <t>Ancienne</t>
  </si>
  <si>
    <t>Jonctions partiellement continues</t>
  </si>
  <si>
    <t>Cette jonction n'est pas présente</t>
  </si>
  <si>
    <t>pondération</t>
  </si>
  <si>
    <t>Indice de continuité de l'isolation</t>
  </si>
  <si>
    <t>Calcul suppK</t>
  </si>
  <si>
    <t>SuppK</t>
  </si>
  <si>
    <t>Extraction seule</t>
  </si>
  <si>
    <t>Passage contrat élec verte</t>
  </si>
  <si>
    <t>MESSAGES AVERTISSEMENT</t>
  </si>
  <si>
    <t>Attention, la température intérieure, la réduction nocturne, les déperditions par renouvellement d'air et/ou les apports solaires ou internes sont probablement mal évalués.  La consommation réelle du bâtiment est en effet sensiblement plus basse que la consommation calculée sur base des données introduites ci-avant.  Un écart important s'explique parfois par le fait que certains espaces sont en pratique peu/pas chauffés.</t>
  </si>
  <si>
    <t>Les fenêtres bénéficient davantage d'apports solaires que de pertes.  Le bilan "pertes-gains" est donc négatif.  Ce graphique en  "tarte" ci-après est donc inutilisable et doit être remplacé par le graphique à barre ci-contre.</t>
  </si>
  <si>
    <t xml:space="preserve">         Attention, les valeurs reprises ci-dessous sont indicatives. Elles varient en fonction des</t>
  </si>
  <si>
    <t xml:space="preserve">         matériaux utilisés réellement dans la composition de chaque paroi.</t>
  </si>
  <si>
    <t>Une liste plus complète et détaillée est disponible sur :</t>
  </si>
  <si>
    <t xml:space="preserve">https://www.cstc.be/media/z1jfyult/catalogue_valeurs_u.pdf </t>
  </si>
  <si>
    <t>Type de paroi</t>
  </si>
  <si>
    <t>U (W/m²K)</t>
  </si>
  <si>
    <t>Facteur solaire ou g</t>
  </si>
  <si>
    <t>Le U des fenêtres peut être calculé via l'outil suivant :</t>
  </si>
  <si>
    <t>https://energieplus-lesite.be/wp-content/uploads/2015/06/Calcul_U_fenetre.xls.zip</t>
  </si>
  <si>
    <t>Fenétre avec simple vitrage</t>
  </si>
  <si>
    <t>Fenêtre avec double vitrage traditionnel</t>
  </si>
  <si>
    <t>Fenêtre avec double vitrage HR</t>
  </si>
  <si>
    <t>Fenêtre avec triple vitrage</t>
  </si>
  <si>
    <t>Porte en bois</t>
  </si>
  <si>
    <t>Porte en aluminium isolé</t>
  </si>
  <si>
    <t>Le U des parois opaques peut être calculé via l'outil suivant :</t>
  </si>
  <si>
    <t>https://energieplus-lesite.be/wp-content/uploads/2015/06/tpcalcUparoibisV2-1.xlsx</t>
  </si>
  <si>
    <t>Mur plein de 29 cm</t>
  </si>
  <si>
    <t>Mur plein de 39 cm</t>
  </si>
  <si>
    <t>Mur creux non isolé</t>
  </si>
  <si>
    <t>Mur creux isolé existant</t>
  </si>
  <si>
    <t>Mur plein bardé non isolé</t>
  </si>
  <si>
    <t>Mur plein bardé isolé existant</t>
  </si>
  <si>
    <t>Mur de pierre non isolé de 30 cm</t>
  </si>
  <si>
    <t>Mur de pierre non isolé de 40 cm</t>
  </si>
  <si>
    <t>Mur de pierre non isolé de 50 cm</t>
  </si>
  <si>
    <t>Mur de pierre non isolé de 60 cm</t>
  </si>
  <si>
    <t>Mur de béton cellulaire de 25 cm (collé)</t>
  </si>
  <si>
    <t>Mur de béton cellulaire de 30 cm (collé)</t>
  </si>
  <si>
    <t>Mur de béton cellulaire de 35 cm (collé)</t>
  </si>
  <si>
    <t>Mur aux normes PEB 2015</t>
  </si>
  <si>
    <t>Mur "passif"</t>
  </si>
  <si>
    <t>Toiture plate en béton non isolée</t>
  </si>
  <si>
    <t>Toiture plate en béton isolée existante</t>
  </si>
  <si>
    <t>Toiture inclinée isolée (6 cm de laine)</t>
  </si>
  <si>
    <t>Toiture inclinée isolée (8 cm de laine)</t>
  </si>
  <si>
    <t>Toiture inclinée isolée (10 cm de laine)</t>
  </si>
  <si>
    <t>Toiture aux normes PEB 2015</t>
  </si>
  <si>
    <t>Toiture "passive"</t>
  </si>
  <si>
    <t>Plancher en bois de combles inoccupés non isolé</t>
  </si>
  <si>
    <t>Plancher en bois de combles inoccupés isolé existant</t>
  </si>
  <si>
    <t>Plancher en béton de combles inoccupés non isolé</t>
  </si>
  <si>
    <t>Plancher en béton de combles inoccupés isolé existant</t>
  </si>
  <si>
    <t>Plancher sur cave en béton non isolé</t>
  </si>
  <si>
    <t>Plancher sur sol en béton non isolé</t>
  </si>
  <si>
    <t>Attention, cette valeur est très conservative.  Il est vivement recommandé de réaliser le calcul détaillé via l'onglet U_sol</t>
  </si>
  <si>
    <t>Plancher sur cave en béton isolé existant</t>
  </si>
  <si>
    <t>Plancher sur sol en béton isolé existant</t>
  </si>
  <si>
    <t>Plancher sur cave aux normes PEB 2015</t>
  </si>
  <si>
    <t>Plancher sur sol aux normes PEB 2015</t>
  </si>
  <si>
    <t>Plancher "passif"</t>
  </si>
  <si>
    <t xml:space="preserve">Pour imprimer cette feuille sur votre </t>
  </si>
  <si>
    <t>imprimante par défaut, cliquez ici :</t>
  </si>
  <si>
    <t>- Temp de base</t>
  </si>
  <si>
    <t>Aaigem</t>
  </si>
  <si>
    <t>Aalbeke</t>
  </si>
  <si>
    <t>max</t>
  </si>
  <si>
    <t>Aalst</t>
  </si>
  <si>
    <t>min</t>
  </si>
  <si>
    <t>Aalter</t>
  </si>
  <si>
    <t>Aarschot</t>
  </si>
  <si>
    <t>Aarsele</t>
  </si>
  <si>
    <t>Degrés-jours 15/15 Uccle</t>
  </si>
  <si>
    <t>Aartrijke</t>
  </si>
  <si>
    <t>Aartselaar</t>
  </si>
  <si>
    <t>Abee</t>
  </si>
  <si>
    <t>Abolens</t>
  </si>
  <si>
    <t>Achel</t>
  </si>
  <si>
    <t>Achene</t>
  </si>
  <si>
    <t>Achet</t>
  </si>
  <si>
    <t>Acosse</t>
  </si>
  <si>
    <t>Acoz</t>
  </si>
  <si>
    <t>Adegem</t>
  </si>
  <si>
    <t>Adinkerke</t>
  </si>
  <si>
    <t>Affligem</t>
  </si>
  <si>
    <t>Afsnee</t>
  </si>
  <si>
    <t>Agimont</t>
  </si>
  <si>
    <t>Aineffe</t>
  </si>
  <si>
    <t>Aische-en-Refail</t>
  </si>
  <si>
    <t>Aiseau</t>
  </si>
  <si>
    <t>Aiseau-Presles</t>
  </si>
  <si>
    <t>Aisemont</t>
  </si>
  <si>
    <t>Alken</t>
  </si>
  <si>
    <t>Alle</t>
  </si>
  <si>
    <t>Alleur</t>
  </si>
  <si>
    <t>Alsemberg</t>
  </si>
  <si>
    <t>Alveringem</t>
  </si>
  <si>
    <t>Amay</t>
  </si>
  <si>
    <t>Amberloup</t>
  </si>
  <si>
    <t>Ambly</t>
  </si>
  <si>
    <t>Ambresin</t>
  </si>
  <si>
    <t>Amel</t>
  </si>
  <si>
    <t>Amonines</t>
  </si>
  <si>
    <t>Amougies</t>
  </si>
  <si>
    <t>Ampsin</t>
  </si>
  <si>
    <t>Andenne</t>
  </si>
  <si>
    <t>Anderlecht</t>
  </si>
  <si>
    <t>Anderlues</t>
  </si>
  <si>
    <t>Andrimont</t>
  </si>
  <si>
    <t>Angleur</t>
  </si>
  <si>
    <t>Angre</t>
  </si>
  <si>
    <t>Angreau</t>
  </si>
  <si>
    <t>Anhee</t>
  </si>
  <si>
    <t>Anlier</t>
  </si>
  <si>
    <t>Anloy</t>
  </si>
  <si>
    <t>Annevoie-Rouillon</t>
  </si>
  <si>
    <t>Ans</t>
  </si>
  <si>
    <t>Anseremme</t>
  </si>
  <si>
    <t>Anseroeul</t>
  </si>
  <si>
    <t>Anthee</t>
  </si>
  <si>
    <t>Antheit</t>
  </si>
  <si>
    <t>Anthisnes</t>
  </si>
  <si>
    <t>Antoing</t>
  </si>
  <si>
    <t>Antwerpen</t>
  </si>
  <si>
    <t>Anvaing</t>
  </si>
  <si>
    <t>Anzegem</t>
  </si>
  <si>
    <t>Appels</t>
  </si>
  <si>
    <t>Appelterre-Eichem</t>
  </si>
  <si>
    <t>Arbre</t>
  </si>
  <si>
    <t>Arbrefontaine</t>
  </si>
  <si>
    <t>Arc-Ainieres</t>
  </si>
  <si>
    <t>Arc-Wattripont</t>
  </si>
  <si>
    <t>Archennes</t>
  </si>
  <si>
    <t>Ardooie</t>
  </si>
  <si>
    <t>Arendonk</t>
  </si>
  <si>
    <t>Argenteau</t>
  </si>
  <si>
    <t>Arlon</t>
  </si>
  <si>
    <t>Arquennes</t>
  </si>
  <si>
    <t>Arsimont</t>
  </si>
  <si>
    <t>Arville</t>
  </si>
  <si>
    <t>As</t>
  </si>
  <si>
    <t>Aspelare</t>
  </si>
  <si>
    <t>Asper</t>
  </si>
  <si>
    <t>Asquillies</t>
  </si>
  <si>
    <t>Asse</t>
  </si>
  <si>
    <t>Assebroek</t>
  </si>
  <si>
    <t>Assenede</t>
  </si>
  <si>
    <t>Assenois</t>
  </si>
  <si>
    <t>Assent</t>
  </si>
  <si>
    <t>Assesse</t>
  </si>
  <si>
    <t>Astene</t>
  </si>
  <si>
    <t>Ath</t>
  </si>
  <si>
    <t>Athis</t>
  </si>
  <si>
    <t>Athus</t>
  </si>
  <si>
    <t>Attenhoven</t>
  </si>
  <si>
    <t>Attenrode</t>
  </si>
  <si>
    <t>Attert</t>
  </si>
  <si>
    <t>Attre</t>
  </si>
  <si>
    <t>Aubange</t>
  </si>
  <si>
    <t>Aubechies</t>
  </si>
  <si>
    <t>Aubel</t>
  </si>
  <si>
    <t>Aublain</t>
  </si>
  <si>
    <t>Auby-sur-Semois</t>
  </si>
  <si>
    <t>Auderghem</t>
  </si>
  <si>
    <t>Audregnies</t>
  </si>
  <si>
    <t>Aulnois</t>
  </si>
  <si>
    <t>Autelbas</t>
  </si>
  <si>
    <t>Autre-Eglise</t>
  </si>
  <si>
    <t>Autreppe</t>
  </si>
  <si>
    <t>Auvelais</t>
  </si>
  <si>
    <t>Ave-et-Auffe</t>
  </si>
  <si>
    <t>Avekapelle</t>
  </si>
  <si>
    <t>Avelgem</t>
  </si>
  <si>
    <t>Avennes</t>
  </si>
  <si>
    <t>Averbode</t>
  </si>
  <si>
    <t>Avernas-le-Bauduin</t>
  </si>
  <si>
    <t>Avin</t>
  </si>
  <si>
    <t>Awans</t>
  </si>
  <si>
    <t>Awenne</t>
  </si>
  <si>
    <t>Awirs</t>
  </si>
  <si>
    <t>Aye</t>
  </si>
  <si>
    <t>Ayeneux</t>
  </si>
  <si>
    <t>Aywaille</t>
  </si>
  <si>
    <t>Baaigem</t>
  </si>
  <si>
    <t>Baal</t>
  </si>
  <si>
    <t>Baardegem</t>
  </si>
  <si>
    <t>Baarle-Hertog</t>
  </si>
  <si>
    <t>Baasrode</t>
  </si>
  <si>
    <t>Bachte-Maria-Leerne</t>
  </si>
  <si>
    <t>Baelen</t>
  </si>
  <si>
    <t>Bagimont</t>
  </si>
  <si>
    <t>Baileux</t>
  </si>
  <si>
    <t>Bailievre</t>
  </si>
  <si>
    <t>Baillamont</t>
  </si>
  <si>
    <t>Bailleul</t>
  </si>
  <si>
    <t>Baillonville</t>
  </si>
  <si>
    <t>Baisieux</t>
  </si>
  <si>
    <t>Baisy-Thy</t>
  </si>
  <si>
    <t>Balatre</t>
  </si>
  <si>
    <t>Balegem</t>
  </si>
  <si>
    <t>Balen</t>
  </si>
  <si>
    <t>Bambrugge</t>
  </si>
  <si>
    <t>Bande</t>
  </si>
  <si>
    <t>Barben‡on</t>
  </si>
  <si>
    <t>Barchon</t>
  </si>
  <si>
    <t>Baronville</t>
  </si>
  <si>
    <t>Barry</t>
  </si>
  <si>
    <t>Barvaux</t>
  </si>
  <si>
    <t>Barvaux-Condroz</t>
  </si>
  <si>
    <t>Bas-Warneton</t>
  </si>
  <si>
    <t>Bas-Oha</t>
  </si>
  <si>
    <t>Basecles</t>
  </si>
  <si>
    <t>Basse-Bodeux</t>
  </si>
  <si>
    <t>Bassenge</t>
  </si>
  <si>
    <t>Bassevelde</t>
  </si>
  <si>
    <t>Bassilly</t>
  </si>
  <si>
    <t>Bastogne</t>
  </si>
  <si>
    <t>Batsheers</t>
  </si>
  <si>
    <t>Battice</t>
  </si>
  <si>
    <t>Battignies</t>
  </si>
  <si>
    <t>Baudour</t>
  </si>
  <si>
    <t>Bauffe</t>
  </si>
  <si>
    <t>Baugnies</t>
  </si>
  <si>
    <t>Baulers</t>
  </si>
  <si>
    <t>Bavegem</t>
  </si>
  <si>
    <t>Bavikhove</t>
  </si>
  <si>
    <t>Bazel</t>
  </si>
  <si>
    <t>Beaufays</t>
  </si>
  <si>
    <t>Beaumont</t>
  </si>
  <si>
    <t>Beauraing</t>
  </si>
  <si>
    <t>Beausaint</t>
  </si>
  <si>
    <t>Beauvechain</t>
  </si>
  <si>
    <t>Beauvoorde</t>
  </si>
  <si>
    <t>Beauwelz</t>
  </si>
  <si>
    <t>Beclers</t>
  </si>
  <si>
    <t>Beek</t>
  </si>
  <si>
    <t>Beerlegem</t>
  </si>
  <si>
    <t>Beernem</t>
  </si>
  <si>
    <t>Beerse</t>
  </si>
  <si>
    <t>Beersel</t>
  </si>
  <si>
    <t>Beerst</t>
  </si>
  <si>
    <t>Beert</t>
  </si>
  <si>
    <t>Beervelde</t>
  </si>
  <si>
    <t>Beerzel</t>
  </si>
  <si>
    <t>Beez</t>
  </si>
  <si>
    <t>Beffe</t>
  </si>
  <si>
    <t>Begijnendijk</t>
  </si>
  <si>
    <t>Beho</t>
  </si>
  <si>
    <t>Beigem</t>
  </si>
  <si>
    <t>Bekegem</t>
  </si>
  <si>
    <t>Bekkerzeel</t>
  </si>
  <si>
    <t>Bekkevoort</t>
  </si>
  <si>
    <t>Belgrade</t>
  </si>
  <si>
    <t>Bellaire</t>
  </si>
  <si>
    <t>Bellecourt</t>
  </si>
  <si>
    <t>Bellefontaine</t>
  </si>
  <si>
    <t>Bellegem</t>
  </si>
  <si>
    <t>Bellem</t>
  </si>
  <si>
    <t>Bellevaux</t>
  </si>
  <si>
    <t>Bellevaux-Ligneuville</t>
  </si>
  <si>
    <t>Bellingen</t>
  </si>
  <si>
    <t>Beloeil</t>
  </si>
  <si>
    <t>Belsele</t>
  </si>
  <si>
    <t>Ben-Ahin</t>
  </si>
  <si>
    <t>Bende</t>
  </si>
  <si>
    <t>Berbroek</t>
  </si>
  <si>
    <t>Berchem-Sainte-Agathe</t>
  </si>
  <si>
    <t>Berchem</t>
  </si>
  <si>
    <t>Berendrecht</t>
  </si>
  <si>
    <t>Berg</t>
  </si>
  <si>
    <t>Bergilers</t>
  </si>
  <si>
    <t>Beringen</t>
  </si>
  <si>
    <t>Berlaar</t>
  </si>
  <si>
    <t>Berlare</t>
  </si>
  <si>
    <t>Berlingen</t>
  </si>
  <si>
    <t>Berloz</t>
  </si>
  <si>
    <t>Berneau</t>
  </si>
  <si>
    <t>Bernissart</t>
  </si>
  <si>
    <t>Bersillies-l'Abbaye</t>
  </si>
  <si>
    <t>Bertem</t>
  </si>
  <si>
    <t>Bertogne</t>
  </si>
  <si>
    <t>Bertree</t>
  </si>
  <si>
    <t>Bertrix</t>
  </si>
  <si>
    <t>Berzee</t>
  </si>
  <si>
    <t>Beselare</t>
  </si>
  <si>
    <t>Betekom</t>
  </si>
  <si>
    <t>Bettincourt</t>
  </si>
  <si>
    <t>Beuzet</t>
  </si>
  <si>
    <t>Bevel</t>
  </si>
  <si>
    <t>Bever</t>
  </si>
  <si>
    <t>Beverce</t>
  </si>
  <si>
    <t>Bevere</t>
  </si>
  <si>
    <t>Beveren</t>
  </si>
  <si>
    <t>Beverlo</t>
  </si>
  <si>
    <t>Beverst</t>
  </si>
  <si>
    <t>Beyne-Heusay</t>
  </si>
  <si>
    <t>Bienne-lez-Happart</t>
  </si>
  <si>
    <t>Bierbeek</t>
  </si>
  <si>
    <t>Biercee</t>
  </si>
  <si>
    <t>Bierges</t>
  </si>
  <si>
    <t>Bierghes</t>
  </si>
  <si>
    <t>Bierset</t>
  </si>
  <si>
    <t>Bierwart</t>
  </si>
  <si>
    <t>Biesme</t>
  </si>
  <si>
    <t>Biesme-sous-Thuin</t>
  </si>
  <si>
    <t>Biesmeree</t>
  </si>
  <si>
    <t>Bievre</t>
  </si>
  <si>
    <t>Biez</t>
  </si>
  <si>
    <t>Bihain</t>
  </si>
  <si>
    <t>Bikschote</t>
  </si>
  <si>
    <t>Bilstain</t>
  </si>
  <si>
    <t>Bilzen</t>
  </si>
  <si>
    <t>Binche</t>
  </si>
  <si>
    <t>Binderveld</t>
  </si>
  <si>
    <t>Binkom</t>
  </si>
  <si>
    <t>Bioul</t>
  </si>
  <si>
    <t>Bissegem</t>
  </si>
  <si>
    <t>Blaasveld</t>
  </si>
  <si>
    <t>Blaimont</t>
  </si>
  <si>
    <t>Blandain</t>
  </si>
  <si>
    <t>Blanden</t>
  </si>
  <si>
    <t>Blankenberge</t>
  </si>
  <si>
    <t>Blaregnies</t>
  </si>
  <si>
    <t>Blaton</t>
  </si>
  <si>
    <t>Blaugies</t>
  </si>
  <si>
    <t>Blegny</t>
  </si>
  <si>
    <t>Bleharies</t>
  </si>
  <si>
    <t>Blehen</t>
  </si>
  <si>
    <t>Bleid</t>
  </si>
  <si>
    <t>Bleret</t>
  </si>
  <si>
    <t>Blicquy</t>
  </si>
  <si>
    <t>Bocholt</t>
  </si>
  <si>
    <t>Boechout</t>
  </si>
  <si>
    <t>Boekhout</t>
  </si>
  <si>
    <t>Boekhoute</t>
  </si>
  <si>
    <t>Boelhe</t>
  </si>
  <si>
    <t>Boezinge</t>
  </si>
  <si>
    <t>Bogaarden</t>
  </si>
  <si>
    <t>Bohan</t>
  </si>
  <si>
    <t>Boignee</t>
  </si>
  <si>
    <t>Boirs</t>
  </si>
  <si>
    <t>Bois-et-Borsu</t>
  </si>
  <si>
    <t>Bois-de-Lessines</t>
  </si>
  <si>
    <t>Bois-d'Haine</t>
  </si>
  <si>
    <t>Bois-de-Villers</t>
  </si>
  <si>
    <t>Bolinne</t>
  </si>
  <si>
    <t>Bolland</t>
  </si>
  <si>
    <t>Bomal</t>
  </si>
  <si>
    <t>Bombaye</t>
  </si>
  <si>
    <t>Bommershoven</t>
  </si>
  <si>
    <t>Bon-Secours</t>
  </si>
  <si>
    <t>Boncelles</t>
  </si>
  <si>
    <t>Boneffe</t>
  </si>
  <si>
    <t>Bonheiden</t>
  </si>
  <si>
    <t>Boninne</t>
  </si>
  <si>
    <t>Bonlez</t>
  </si>
  <si>
    <t>Bonnert</t>
  </si>
  <si>
    <t>Bonneville</t>
  </si>
  <si>
    <t>Bonsin</t>
  </si>
  <si>
    <t>Booischot</t>
  </si>
  <si>
    <t>Booitshoeke</t>
  </si>
  <si>
    <t>Boom</t>
  </si>
  <si>
    <t>Boorsem</t>
  </si>
  <si>
    <t>Boortmeerbeek</t>
  </si>
  <si>
    <t>Borchtlombeek</t>
  </si>
  <si>
    <t>Borgerhout</t>
  </si>
  <si>
    <t>Borgloon</t>
  </si>
  <si>
    <t>Borlez</t>
  </si>
  <si>
    <t>Borlo</t>
  </si>
  <si>
    <t>Borlon</t>
  </si>
  <si>
    <t>Bornem</t>
  </si>
  <si>
    <t>Bornival</t>
  </si>
  <si>
    <t>Borsbeek</t>
  </si>
  <si>
    <t>Borsbeke</t>
  </si>
  <si>
    <t>Bossiere</t>
  </si>
  <si>
    <t>Bossuit</t>
  </si>
  <si>
    <t>Bossut-Gottechain</t>
  </si>
  <si>
    <t>Bost</t>
  </si>
  <si>
    <t>Bothey</t>
  </si>
  <si>
    <t>Bottelare</t>
  </si>
  <si>
    <t>Bouffioulx</t>
  </si>
  <si>
    <t>Bouge</t>
  </si>
  <si>
    <t>Bougnies</t>
  </si>
  <si>
    <t>Bouillon</t>
  </si>
  <si>
    <t>Bourlers</t>
  </si>
  <si>
    <t>Bourseigne-Neuve</t>
  </si>
  <si>
    <t>Bourseigne-Vieille</t>
  </si>
  <si>
    <t>Boussoit</t>
  </si>
  <si>
    <t>Boussu</t>
  </si>
  <si>
    <t>Boussu-en-Fagne</t>
  </si>
  <si>
    <t>Boussu-lez-Walcourt</t>
  </si>
  <si>
    <t>Bousval</t>
  </si>
  <si>
    <t>Boutersem</t>
  </si>
  <si>
    <t>Bouvignes-sur-Meuse</t>
  </si>
  <si>
    <t>Bouvignies</t>
  </si>
  <si>
    <t>Bouwel</t>
  </si>
  <si>
    <t>Bovekerke</t>
  </si>
  <si>
    <t>Bovelingen</t>
  </si>
  <si>
    <t>Bovenistier</t>
  </si>
  <si>
    <t>Bovesse</t>
  </si>
  <si>
    <t>Bovigny</t>
  </si>
  <si>
    <t>Bra</t>
  </si>
  <si>
    <t>Braffe</t>
  </si>
  <si>
    <t>Braibant</t>
  </si>
  <si>
    <t>Braine-l'Alleud</t>
  </si>
  <si>
    <t>Braine-le-Comte</t>
  </si>
  <si>
    <t>Braine-le-Chateau</t>
  </si>
  <si>
    <t>Braives</t>
  </si>
  <si>
    <t>Brakel</t>
  </si>
  <si>
    <t>Branchon</t>
  </si>
  <si>
    <t>Bras</t>
  </si>
  <si>
    <t>Brasmenil</t>
  </si>
  <si>
    <t>Brasschaat</t>
  </si>
  <si>
    <t>Bray</t>
  </si>
  <si>
    <t>Brecht</t>
  </si>
  <si>
    <t>Bredene</t>
  </si>
  <si>
    <t>Bree</t>
  </si>
  <si>
    <t>Breendonk</t>
  </si>
  <si>
    <t>Bressoux</t>
  </si>
  <si>
    <t>Brielen</t>
  </si>
  <si>
    <t>Broechem</t>
  </si>
  <si>
    <t>Broekom</t>
  </si>
  <si>
    <t>Brugelette</t>
  </si>
  <si>
    <t>Brugge</t>
  </si>
  <si>
    <t>Bruly-de-Pesche</t>
  </si>
  <si>
    <t>Bruly</t>
  </si>
  <si>
    <t>Brunehaut</t>
  </si>
  <si>
    <t>Brussegem</t>
  </si>
  <si>
    <t>Brussel</t>
  </si>
  <si>
    <t>Brustem</t>
  </si>
  <si>
    <t>Bruxelles</t>
  </si>
  <si>
    <t>Bruyelle</t>
  </si>
  <si>
    <t>Brye</t>
  </si>
  <si>
    <t>Budingen</t>
  </si>
  <si>
    <t>Buggenhout</t>
  </si>
  <si>
    <t>Buissenal</t>
  </si>
  <si>
    <t>Buissonville</t>
  </si>
  <si>
    <t>Buizingen</t>
  </si>
  <si>
    <t>Buken</t>
  </si>
  <si>
    <t>Bullingen</t>
  </si>
  <si>
    <t>Bulskamp</t>
  </si>
  <si>
    <t>Bunsbeek</t>
  </si>
  <si>
    <t>Burcht</t>
  </si>
  <si>
    <t>Burdinne</t>
  </si>
  <si>
    <t>Bure</t>
  </si>
  <si>
    <t>Burg-Reuland</t>
  </si>
  <si>
    <t>Burst</t>
  </si>
  <si>
    <t>Bury</t>
  </si>
  <si>
    <t>Butgenbach</t>
  </si>
  <si>
    <t>Buvingen</t>
  </si>
  <si>
    <t>Buvrinnes</t>
  </si>
  <si>
    <t>Buzenol</t>
  </si>
  <si>
    <t>Buzet</t>
  </si>
  <si>
    <t>Callenelle</t>
  </si>
  <si>
    <t>Calonne</t>
  </si>
  <si>
    <t>Cambron-Casteau</t>
  </si>
  <si>
    <t>Cambron-Saint-Vincent</t>
  </si>
  <si>
    <t>Carlsbourg</t>
  </si>
  <si>
    <t>Carnieres</t>
  </si>
  <si>
    <t>Casteau</t>
  </si>
  <si>
    <t>Castillon</t>
  </si>
  <si>
    <t>Celles</t>
  </si>
  <si>
    <t>Cerexhe-Heuseux</t>
  </si>
  <si>
    <t>Cerfontaine</t>
  </si>
  <si>
    <t>Ceroux-Mousty</t>
  </si>
  <si>
    <t>Chaineux</t>
  </si>
  <si>
    <t>Chairiere</t>
  </si>
  <si>
    <t>Champion</t>
  </si>
  <si>
    <t>Champlon</t>
  </si>
  <si>
    <t>Chanly</t>
  </si>
  <si>
    <t>Chantemelle</t>
  </si>
  <si>
    <t>Chapelle-lez-Herlaimont</t>
  </si>
  <si>
    <t>Chapelle-a-Oie</t>
  </si>
  <si>
    <t>Chapelle-a-Wattines</t>
  </si>
  <si>
    <t>Chapon-Seraing</t>
  </si>
  <si>
    <t>Charleroi</t>
  </si>
  <si>
    <t>Charneux</t>
  </si>
  <si>
    <t>Chassepierre</t>
  </si>
  <si>
    <t>Chastre-Villeroux-Blanmont</t>
  </si>
  <si>
    <t>Chastre</t>
  </si>
  <si>
    <t>Chastres</t>
  </si>
  <si>
    <t>Chatelet</t>
  </si>
  <si>
    <t>Chatelineau</t>
  </si>
  <si>
    <t>Chatillon</t>
  </si>
  <si>
    <t>Chaudfontaine</t>
  </si>
  <si>
    <t>Chaumont-Gistoux</t>
  </si>
  <si>
    <t>Chaussee-Notre-Dame-Louvignies</t>
  </si>
  <si>
    <t>Chenee</t>
  </si>
  <si>
    <t>Cherain</t>
  </si>
  <si>
    <t>Cheratte</t>
  </si>
  <si>
    <t>Chercq</t>
  </si>
  <si>
    <t>Chevetogne</t>
  </si>
  <si>
    <t>Chevron</t>
  </si>
  <si>
    <t>Chievres</t>
  </si>
  <si>
    <t>Chimay</t>
  </si>
  <si>
    <t>Chiny</t>
  </si>
  <si>
    <t>Chokier</t>
  </si>
  <si>
    <t>Ciergnon</t>
  </si>
  <si>
    <t>Ciney</t>
  </si>
  <si>
    <t>Ciplet</t>
  </si>
  <si>
    <t>Ciply</t>
  </si>
  <si>
    <t>Clabecq</t>
  </si>
  <si>
    <t>Clavier</t>
  </si>
  <si>
    <t>Clermont-sous-Huy</t>
  </si>
  <si>
    <t>Clermont</t>
  </si>
  <si>
    <t>Cognelee</t>
  </si>
  <si>
    <t>Colfontaine</t>
  </si>
  <si>
    <t>Comblain-au-Pont</t>
  </si>
  <si>
    <t>Comblain-Fairon</t>
  </si>
  <si>
    <t>Comines-Warneton</t>
  </si>
  <si>
    <t>Conneux</t>
  </si>
  <si>
    <t>Corbais</t>
  </si>
  <si>
    <t>Corbion</t>
  </si>
  <si>
    <t>Cordes</t>
  </si>
  <si>
    <t>Corenne</t>
  </si>
  <si>
    <t>Cornesse</t>
  </si>
  <si>
    <t>Cornimont</t>
  </si>
  <si>
    <t>Corroy-le-Grand</t>
  </si>
  <si>
    <t>Corroy-le-Chateau</t>
  </si>
  <si>
    <t>Corswarem</t>
  </si>
  <si>
    <t>Cortil-Noirmont</t>
  </si>
  <si>
    <t>Cortil-Wodon</t>
  </si>
  <si>
    <t>Couillet</t>
  </si>
  <si>
    <t>Cour-sur-Heure</t>
  </si>
  <si>
    <t>Courcelles</t>
  </si>
  <si>
    <t>Courriere</t>
  </si>
  <si>
    <t>Court-Saint-Etienne</t>
  </si>
  <si>
    <t>Couthuin</t>
  </si>
  <si>
    <t>Coutisse</t>
  </si>
  <si>
    <t>Couture-Saint-Germain</t>
  </si>
  <si>
    <t>Couvin</t>
  </si>
  <si>
    <t>Cras-Avernas</t>
  </si>
  <si>
    <t>Crehen</t>
  </si>
  <si>
    <t>Crisnee</t>
  </si>
  <si>
    <t>Croix-lez-Rouveroy</t>
  </si>
  <si>
    <t>Crombach</t>
  </si>
  <si>
    <t>Crupet</t>
  </si>
  <si>
    <t>Cuesmes</t>
  </si>
  <si>
    <t>Cugnon</t>
  </si>
  <si>
    <t>Cul-des-Sarts</t>
  </si>
  <si>
    <t>Custinne</t>
  </si>
  <si>
    <t>Dadizele</t>
  </si>
  <si>
    <t>Dailly</t>
  </si>
  <si>
    <t>Daknam</t>
  </si>
  <si>
    <t>Dalhem</t>
  </si>
  <si>
    <t>Damme</t>
  </si>
  <si>
    <t>Dampicourt</t>
  </si>
  <si>
    <t>Dampremy</t>
  </si>
  <si>
    <t>Darion</t>
  </si>
  <si>
    <t>Daussois</t>
  </si>
  <si>
    <t>Daussoulx</t>
  </si>
  <si>
    <t>Dave</t>
  </si>
  <si>
    <t>Daverdisse</t>
  </si>
  <si>
    <t>De Haan</t>
  </si>
  <si>
    <t>De Panne</t>
  </si>
  <si>
    <t>De Pinte</t>
  </si>
  <si>
    <t>De Moeren</t>
  </si>
  <si>
    <t>De Klinge</t>
  </si>
  <si>
    <t>Deerlijk</t>
  </si>
  <si>
    <t>Deftinge</t>
  </si>
  <si>
    <t>Deinze</t>
  </si>
  <si>
    <t>Denderbelle</t>
  </si>
  <si>
    <t>Denderhoutem</t>
  </si>
  <si>
    <t>Denderleeuw</t>
  </si>
  <si>
    <t>Dendermonde</t>
  </si>
  <si>
    <t>Denderwindeke</t>
  </si>
  <si>
    <t>Denee</t>
  </si>
  <si>
    <t>Dentergem</t>
  </si>
  <si>
    <t>Dergneau</t>
  </si>
  <si>
    <t>Dessel</t>
  </si>
  <si>
    <t>Desselgem</t>
  </si>
  <si>
    <t>Destelbergen</t>
  </si>
  <si>
    <t>Desteldonk</t>
  </si>
  <si>
    <t>Deurle</t>
  </si>
  <si>
    <t>Deurne</t>
  </si>
  <si>
    <t>Deux-Acren</t>
  </si>
  <si>
    <t>Dhuy</t>
  </si>
  <si>
    <t>Diegem</t>
  </si>
  <si>
    <t>Diepenbeek</t>
  </si>
  <si>
    <t>Diest</t>
  </si>
  <si>
    <t>Diets-Heur</t>
  </si>
  <si>
    <t>Dikkebus</t>
  </si>
  <si>
    <t>Dikkele</t>
  </si>
  <si>
    <t>Dikkelvenne</t>
  </si>
  <si>
    <t>Diksmuide</t>
  </si>
  <si>
    <t>Dilbeek</t>
  </si>
  <si>
    <t>Dilsen</t>
  </si>
  <si>
    <t>Dinant</t>
  </si>
  <si>
    <t>Dion-le-Mont</t>
  </si>
  <si>
    <t>Dion</t>
  </si>
  <si>
    <t>Dion-le-Val</t>
  </si>
  <si>
    <t>Dion-Valmont</t>
  </si>
  <si>
    <t>Dison</t>
  </si>
  <si>
    <t>Dochamps</t>
  </si>
  <si>
    <t>Doel</t>
  </si>
  <si>
    <t>Dohan</t>
  </si>
  <si>
    <t>Doische</t>
  </si>
  <si>
    <t>Dolembreux</t>
  </si>
  <si>
    <t>Donceel</t>
  </si>
  <si>
    <t>Dongelberg</t>
  </si>
  <si>
    <t>Donk</t>
  </si>
  <si>
    <t>Donstiennes</t>
  </si>
  <si>
    <t>Dorinne</t>
  </si>
  <si>
    <t>Dormaal</t>
  </si>
  <si>
    <t>Dottignies</t>
  </si>
  <si>
    <t>Dour</t>
  </si>
  <si>
    <t>Dourbes</t>
  </si>
  <si>
    <t>Dranouter</t>
  </si>
  <si>
    <t>Drehance</t>
  </si>
  <si>
    <t>Driekapellen</t>
  </si>
  <si>
    <t>Drieslinter</t>
  </si>
  <si>
    <t>Drogenbos</t>
  </si>
  <si>
    <t>Drongen</t>
  </si>
  <si>
    <t>Dudzele</t>
  </si>
  <si>
    <t>Duffel</t>
  </si>
  <si>
    <t>Duisburg</t>
  </si>
  <si>
    <t>Duras</t>
  </si>
  <si>
    <t>Durbuy</t>
  </si>
  <si>
    <t>Durnal</t>
  </si>
  <si>
    <t>Dworp</t>
  </si>
  <si>
    <t>Eben-Emael</t>
  </si>
  <si>
    <t>Ebly</t>
  </si>
  <si>
    <t>Ecaussinnes</t>
  </si>
  <si>
    <t>Ecaussinnes-d'Enghien</t>
  </si>
  <si>
    <t>Ecaussinnes-Lalaing</t>
  </si>
  <si>
    <t>Edegem</t>
  </si>
  <si>
    <t>Edelare</t>
  </si>
  <si>
    <t>Eeklo</t>
  </si>
  <si>
    <t>Eernegem</t>
  </si>
  <si>
    <t>Egem</t>
  </si>
  <si>
    <t>Eggewaartskapelle</t>
  </si>
  <si>
    <t>Eghezee</t>
  </si>
  <si>
    <t>Ehein</t>
  </si>
  <si>
    <t>Eigenbilzen</t>
  </si>
  <si>
    <t>Eindhout</t>
  </si>
  <si>
    <t>Eine</t>
  </si>
  <si>
    <t>Eisden</t>
  </si>
  <si>
    <t>Eke</t>
  </si>
  <si>
    <t>Ekeren</t>
  </si>
  <si>
    <t>Eksaarde</t>
  </si>
  <si>
    <t>Eksel</t>
  </si>
  <si>
    <t>Elderen</t>
  </si>
  <si>
    <t>Elen</t>
  </si>
  <si>
    <t>Elene</t>
  </si>
  <si>
    <t>Elewijt</t>
  </si>
  <si>
    <t>Eliksem</t>
  </si>
  <si>
    <t>Elingen</t>
  </si>
  <si>
    <t>Ellemelle</t>
  </si>
  <si>
    <t>Ellezelles</t>
  </si>
  <si>
    <t>Ellignies-Sainte-Anne</t>
  </si>
  <si>
    <t>Ellignies-lez-Frasnes</t>
  </si>
  <si>
    <t>Ellikom</t>
  </si>
  <si>
    <t>Elouges</t>
  </si>
  <si>
    <t>Elsegem</t>
  </si>
  <si>
    <t>Elsenborn</t>
  </si>
  <si>
    <t>Elsene</t>
  </si>
  <si>
    <t>Elst</t>
  </si>
  <si>
    <t>Elverdinge</t>
  </si>
  <si>
    <t>Elversele</t>
  </si>
  <si>
    <t>Emblem</t>
  </si>
  <si>
    <t>Embourg</t>
  </si>
  <si>
    <t>Emelgem</t>
  </si>
  <si>
    <t>Emines</t>
  </si>
  <si>
    <t>Emptinne</t>
  </si>
  <si>
    <t>Ename</t>
  </si>
  <si>
    <t>Engelmanshoven</t>
  </si>
  <si>
    <t>Enghien</t>
  </si>
  <si>
    <t>Engis</t>
  </si>
  <si>
    <t>Enines</t>
  </si>
  <si>
    <t>Ensival</t>
  </si>
  <si>
    <t>Epinois</t>
  </si>
  <si>
    <t>Eppegem</t>
  </si>
  <si>
    <t>Eprave</t>
  </si>
  <si>
    <t>Erbaut</t>
  </si>
  <si>
    <t>Erbisoeul</t>
  </si>
  <si>
    <t>Ere</t>
  </si>
  <si>
    <t>Erembodegem</t>
  </si>
  <si>
    <t>Erezee</t>
  </si>
  <si>
    <t>Ermeton-sur-Biert</t>
  </si>
  <si>
    <t>Ernage</t>
  </si>
  <si>
    <t>Erneuville</t>
  </si>
  <si>
    <t>Ernonheid</t>
  </si>
  <si>
    <t>Erondegem</t>
  </si>
  <si>
    <t>Erpe-Mere</t>
  </si>
  <si>
    <t>Erpe</t>
  </si>
  <si>
    <t>Erpent</t>
  </si>
  <si>
    <t>Erpion</t>
  </si>
  <si>
    <t>Erps-Kwerps</t>
  </si>
  <si>
    <t>Erquelinnes</t>
  </si>
  <si>
    <t>Erquennes</t>
  </si>
  <si>
    <t>Ertvelde</t>
  </si>
  <si>
    <t>Erwetegem</t>
  </si>
  <si>
    <t>Escanaffles</t>
  </si>
  <si>
    <t>Esen</t>
  </si>
  <si>
    <t>Esneux</t>
  </si>
  <si>
    <t>Esplechin</t>
  </si>
  <si>
    <t>Esquelmes</t>
  </si>
  <si>
    <t>Essen</t>
  </si>
  <si>
    <t>Essene</t>
  </si>
  <si>
    <t>Estaimbourg</t>
  </si>
  <si>
    <t>Estaimpuis</t>
  </si>
  <si>
    <t>Estinnes-au-Val</t>
  </si>
  <si>
    <t>Estinnes-au-Mont</t>
  </si>
  <si>
    <t>Estinnes</t>
  </si>
  <si>
    <t>Etalle</t>
  </si>
  <si>
    <t>Ethe</t>
  </si>
  <si>
    <t>Etikhove</t>
  </si>
  <si>
    <t>Ettelgem</t>
  </si>
  <si>
    <t>Etterbeek</t>
  </si>
  <si>
    <t>Eugies</t>
  </si>
  <si>
    <t>Eupen</t>
  </si>
  <si>
    <t>Evegnee-Tignee</t>
  </si>
  <si>
    <t>Evelette</t>
  </si>
  <si>
    <t>Everbeek</t>
  </si>
  <si>
    <t>Everberg</t>
  </si>
  <si>
    <t>Evere</t>
  </si>
  <si>
    <t>Evergem</t>
  </si>
  <si>
    <t>Evregnies</t>
  </si>
  <si>
    <t>Evrehailles</t>
  </si>
  <si>
    <t>Eynatten</t>
  </si>
  <si>
    <t>Ezemaal</t>
  </si>
  <si>
    <t>Fagnolle</t>
  </si>
  <si>
    <t>Faimes</t>
  </si>
  <si>
    <t>Fala‰n</t>
  </si>
  <si>
    <t>Falisolle</t>
  </si>
  <si>
    <t>Fallais</t>
  </si>
  <si>
    <t>Falmagne</t>
  </si>
  <si>
    <t>Falmignoul</t>
  </si>
  <si>
    <t>Familleureux</t>
  </si>
  <si>
    <t>Farciennes</t>
  </si>
  <si>
    <t>Faulx-les-Tombes</t>
  </si>
  <si>
    <t>Fauroeulx</t>
  </si>
  <si>
    <t>Fauvillers</t>
  </si>
  <si>
    <t>Faymonville</t>
  </si>
  <si>
    <t>Fays-les-Veneurs</t>
  </si>
  <si>
    <t>Fayt-le-Franc</t>
  </si>
  <si>
    <t>Fayt-lez-Manage</t>
  </si>
  <si>
    <t>Felenne</t>
  </si>
  <si>
    <t>Feluy</t>
  </si>
  <si>
    <t>Feneur</t>
  </si>
  <si>
    <t>Fernelmont</t>
  </si>
  <si>
    <t>Ferrieres</t>
  </si>
  <si>
    <t>Feschaux</t>
  </si>
  <si>
    <t>Fexhe-Slins</t>
  </si>
  <si>
    <t>Fexhe-le-Haut-Clocher</t>
  </si>
  <si>
    <t>Filot</t>
  </si>
  <si>
    <t>Finnevaux</t>
  </si>
  <si>
    <t>Fize-le-Marsal</t>
  </si>
  <si>
    <t>Fize-Fontaine</t>
  </si>
  <si>
    <t>Flamierge</t>
  </si>
  <si>
    <t>Flavion</t>
  </si>
  <si>
    <t>Flawinne</t>
  </si>
  <si>
    <t>Flemalle-Grande</t>
  </si>
  <si>
    <t>Flemalle-Haute</t>
  </si>
  <si>
    <t>Flemalle</t>
  </si>
  <si>
    <t>Flenu</t>
  </si>
  <si>
    <t>Fleron</t>
  </si>
  <si>
    <t>Fleurus</t>
  </si>
  <si>
    <t>Flobecq</t>
  </si>
  <si>
    <t>Fl“ne</t>
  </si>
  <si>
    <t>Floree</t>
  </si>
  <si>
    <t>Floreffe</t>
  </si>
  <si>
    <t>Florennes</t>
  </si>
  <si>
    <t>Florenville</t>
  </si>
  <si>
    <t>Floriffoux</t>
  </si>
  <si>
    <t>Flostoy</t>
  </si>
  <si>
    <t>Focant</t>
  </si>
  <si>
    <t>Folx-les-Caves</t>
  </si>
  <si>
    <t>Fontaine-l'Eveque</t>
  </si>
  <si>
    <t>Fontaine-Valmont</t>
  </si>
  <si>
    <t>Fontenelle</t>
  </si>
  <si>
    <t>Fontenoille</t>
  </si>
  <si>
    <t>Fontenoy</t>
  </si>
  <si>
    <t>Fooz</t>
  </si>
  <si>
    <t>Forchies-la-Marche</t>
  </si>
  <si>
    <t>Forest</t>
  </si>
  <si>
    <t>Foret</t>
  </si>
  <si>
    <t>Forge-Philippe</t>
  </si>
  <si>
    <t>Forges</t>
  </si>
  <si>
    <t>Forrieres</t>
  </si>
  <si>
    <t>Forville</t>
  </si>
  <si>
    <t>Fosse</t>
  </si>
  <si>
    <t>Fosses-la-Ville</t>
  </si>
  <si>
    <t>Fouleng</t>
  </si>
  <si>
    <t>Fourbechies</t>
  </si>
  <si>
    <t>Foy-Notre-Dame</t>
  </si>
  <si>
    <t>Fraipont</t>
  </si>
  <si>
    <t>Fraire</t>
  </si>
  <si>
    <t>Fraiture</t>
  </si>
  <si>
    <t>Frameries</t>
  </si>
  <si>
    <t>Framont</t>
  </si>
  <si>
    <t>Franc-Waret</t>
  </si>
  <si>
    <t>Franchimont</t>
  </si>
  <si>
    <t>Francorchamps</t>
  </si>
  <si>
    <t>Franiere</t>
  </si>
  <si>
    <t>Frasnes</t>
  </si>
  <si>
    <t>Frasnes-lez-Anvaing</t>
  </si>
  <si>
    <t>Frasnes-lez-Buissenal</t>
  </si>
  <si>
    <t>Frasnes-lez-Gosselies</t>
  </si>
  <si>
    <t>Freloux</t>
  </si>
  <si>
    <t>Freux</t>
  </si>
  <si>
    <t>Froidchapelle</t>
  </si>
  <si>
    <t>Froidfontaine</t>
  </si>
  <si>
    <t>Froidmont</t>
  </si>
  <si>
    <t>Fronville</t>
  </si>
  <si>
    <t>Froyennes</t>
  </si>
  <si>
    <t>Fumal</t>
  </si>
  <si>
    <t>Furfooz</t>
  </si>
  <si>
    <t>Furnaux</t>
  </si>
  <si>
    <t>Gaasbeek</t>
  </si>
  <si>
    <t>Gages</t>
  </si>
  <si>
    <t>Gallaix</t>
  </si>
  <si>
    <t>Galmaarden</t>
  </si>
  <si>
    <t>Ganshoren</t>
  </si>
  <si>
    <t>Gaurain-Ramecroix</t>
  </si>
  <si>
    <t>Gavere</t>
  </si>
  <si>
    <t>Gedinne</t>
  </si>
  <si>
    <t>Geel</t>
  </si>
  <si>
    <t>Geer</t>
  </si>
  <si>
    <t>Geest-Gerompont-Petit-Rosiere</t>
  </si>
  <si>
    <t>Geetbets</t>
  </si>
  <si>
    <t>Gelbressee</t>
  </si>
  <si>
    <t>Gelinden</t>
  </si>
  <si>
    <t>Gellik</t>
  </si>
  <si>
    <t>Gelmen</t>
  </si>
  <si>
    <t>Gelrode</t>
  </si>
  <si>
    <t>Geluveld</t>
  </si>
  <si>
    <t>Geluwe</t>
  </si>
  <si>
    <t>Gembes</t>
  </si>
  <si>
    <t>Gembloux</t>
  </si>
  <si>
    <t>Gemmenich</t>
  </si>
  <si>
    <t>Genappe</t>
  </si>
  <si>
    <t>Genk</t>
  </si>
  <si>
    <t>Genly</t>
  </si>
  <si>
    <t>Genoelselderen</t>
  </si>
  <si>
    <t>Gent</t>
  </si>
  <si>
    <t>Gentbrugge</t>
  </si>
  <si>
    <t>Gentinnes</t>
  </si>
  <si>
    <t>Genval</t>
  </si>
  <si>
    <t>Geraardsbergen</t>
  </si>
  <si>
    <t>Gerdingen</t>
  </si>
  <si>
    <t>Gerin</t>
  </si>
  <si>
    <t>Gerompont</t>
  </si>
  <si>
    <t>Gerouville</t>
  </si>
  <si>
    <t>Gerpinnes</t>
  </si>
  <si>
    <t>Gestel</t>
  </si>
  <si>
    <t>Gesves</t>
  </si>
  <si>
    <t>Ghislenghien</t>
  </si>
  <si>
    <t>Ghlin</t>
  </si>
  <si>
    <t>Ghoy</t>
  </si>
  <si>
    <t>Gibecq</t>
  </si>
  <si>
    <t>Gierle</t>
  </si>
  <si>
    <t>Gijverinkhove</t>
  </si>
  <si>
    <t>Gijzegem</t>
  </si>
  <si>
    <t>Gijzelbrechtegem</t>
  </si>
  <si>
    <t>Gijzenzele</t>
  </si>
  <si>
    <t>Gilly</t>
  </si>
  <si>
    <t>Gimnee</t>
  </si>
  <si>
    <t>Gingelom</t>
  </si>
  <si>
    <t>Gistel</t>
  </si>
  <si>
    <t>Gits</t>
  </si>
  <si>
    <t>Givry</t>
  </si>
  <si>
    <t>Glabais</t>
  </si>
  <si>
    <t>Glabbeek-Zuurbemde</t>
  </si>
  <si>
    <t>Glabbeek</t>
  </si>
  <si>
    <t>Glain</t>
  </si>
  <si>
    <t>Gleixhe</t>
  </si>
  <si>
    <t>Glimes</t>
  </si>
  <si>
    <t>Glons</t>
  </si>
  <si>
    <t>Gochenee</t>
  </si>
  <si>
    <t>Godarville</t>
  </si>
  <si>
    <t>Godinne</t>
  </si>
  <si>
    <t>Godveerdegem</t>
  </si>
  <si>
    <t>Goe</t>
  </si>
  <si>
    <t>Goeferdinge</t>
  </si>
  <si>
    <t>Goegnies-Chaussee</t>
  </si>
  <si>
    <t>Goesnes</t>
  </si>
  <si>
    <t>Goetsenhoven</t>
  </si>
  <si>
    <t>Gomze-Andoumont</t>
  </si>
  <si>
    <t>Gondregnies</t>
  </si>
  <si>
    <t>Gonrieux</t>
  </si>
  <si>
    <t>Gontrode</t>
  </si>
  <si>
    <t>Gooik</t>
  </si>
  <si>
    <t>Gors-Opleeuw</t>
  </si>
  <si>
    <t>Gorsem</t>
  </si>
  <si>
    <t>Gosselies</t>
  </si>
  <si>
    <t>Gotem</t>
  </si>
  <si>
    <t>Gottem</t>
  </si>
  <si>
    <t>Gougnies</t>
  </si>
  <si>
    <t>Gourdinne</t>
  </si>
  <si>
    <t>Goutroux</t>
  </si>
  <si>
    <t>Gouvy</t>
  </si>
  <si>
    <t>Gouy-lez-Pieton</t>
  </si>
  <si>
    <t>Gozee</t>
  </si>
  <si>
    <t>Grace-Hollogne</t>
  </si>
  <si>
    <t>Grace-Berleur</t>
  </si>
  <si>
    <t>Graide</t>
  </si>
  <si>
    <t>Grammene</t>
  </si>
  <si>
    <t>Grand-Reng</t>
  </si>
  <si>
    <t>Grand-Rechain</t>
  </si>
  <si>
    <t>Grand-Manil</t>
  </si>
  <si>
    <t>Grand-Leez</t>
  </si>
  <si>
    <t>Grand-Hallet</t>
  </si>
  <si>
    <t>Grand-Rosiere-Hottomont</t>
  </si>
  <si>
    <t>Grand-Halleux</t>
  </si>
  <si>
    <t>Grand-Axhe</t>
  </si>
  <si>
    <t>Grandglise</t>
  </si>
  <si>
    <t>Grandhan</t>
  </si>
  <si>
    <t>Grandmenil</t>
  </si>
  <si>
    <t>Grandmetz</t>
  </si>
  <si>
    <t>Grandrieu</t>
  </si>
  <si>
    <t>Grandville</t>
  </si>
  <si>
    <t>Grandvoir</t>
  </si>
  <si>
    <t>Grapfontaine</t>
  </si>
  <si>
    <t>Graty</t>
  </si>
  <si>
    <t>Graux</t>
  </si>
  <si>
    <t>Grazen</t>
  </si>
  <si>
    <t>Grembergen</t>
  </si>
  <si>
    <t>Grez-Doiceau</t>
  </si>
  <si>
    <t>Grimbergen</t>
  </si>
  <si>
    <t>Grimminge</t>
  </si>
  <si>
    <t>Grivegnee</t>
  </si>
  <si>
    <t>Grobbendonk</t>
  </si>
  <si>
    <t>Groot-Bijgaarden</t>
  </si>
  <si>
    <t>Groot-Loon</t>
  </si>
  <si>
    <t>Groot-Gelmen</t>
  </si>
  <si>
    <t>Gros-Fays</t>
  </si>
  <si>
    <t>Grosage</t>
  </si>
  <si>
    <t>Grote-Spouwen</t>
  </si>
  <si>
    <t>Grote-Brogel</t>
  </si>
  <si>
    <t>Grotenberge</t>
  </si>
  <si>
    <t>Gruitrode</t>
  </si>
  <si>
    <t>Grune</t>
  </si>
  <si>
    <t>Grupont</t>
  </si>
  <si>
    <t>Guignies</t>
  </si>
  <si>
    <t>Guigoven</t>
  </si>
  <si>
    <t>Guirsch</t>
  </si>
  <si>
    <t>Gullegem</t>
  </si>
  <si>
    <t>Gutschoven</t>
  </si>
  <si>
    <t>Haacht</t>
  </si>
  <si>
    <t>Haaltert</t>
  </si>
  <si>
    <t>Haasdonk</t>
  </si>
  <si>
    <t>Haasrode</t>
  </si>
  <si>
    <t>Habay</t>
  </si>
  <si>
    <t>Habay-la-Vieille</t>
  </si>
  <si>
    <t>Habay-la-Neuve</t>
  </si>
  <si>
    <t>Habergy</t>
  </si>
  <si>
    <t>Haccourt</t>
  </si>
  <si>
    <t>Hachy</t>
  </si>
  <si>
    <t>Hacquegnies</t>
  </si>
  <si>
    <t>Haillot</t>
  </si>
  <si>
    <t>Haine-Saint-Paul</t>
  </si>
  <si>
    <t>Haine-Saint-Pierre</t>
  </si>
  <si>
    <t>Hainin</t>
  </si>
  <si>
    <t>Hakendover</t>
  </si>
  <si>
    <t>Halanzy</t>
  </si>
  <si>
    <t>Halen</t>
  </si>
  <si>
    <t>Hallaar</t>
  </si>
  <si>
    <t>Halle</t>
  </si>
  <si>
    <t>Halle-Booienhoven</t>
  </si>
  <si>
    <t>Halleux</t>
  </si>
  <si>
    <t>Halma</t>
  </si>
  <si>
    <t>Halmaal</t>
  </si>
  <si>
    <t>Haltinne</t>
  </si>
  <si>
    <t>Ham-sur-Heure</t>
  </si>
  <si>
    <t>Ham</t>
  </si>
  <si>
    <t>Ham-sur-Heure-Nalinnes</t>
  </si>
  <si>
    <t>Ham-sur-Sambre</t>
  </si>
  <si>
    <t>Hamipre</t>
  </si>
  <si>
    <t>Hamme-Mille</t>
  </si>
  <si>
    <t>Hamme</t>
  </si>
  <si>
    <t>Hamoir</t>
  </si>
  <si>
    <t>Hamois</t>
  </si>
  <si>
    <t>Hamont-Achel</t>
  </si>
  <si>
    <t>Hamont</t>
  </si>
  <si>
    <t>Hampteau</t>
  </si>
  <si>
    <t>Han-sur-Lesse</t>
  </si>
  <si>
    <t>Handzame</t>
  </si>
  <si>
    <t>Haneffe</t>
  </si>
  <si>
    <t>Hanneche</t>
  </si>
  <si>
    <t>Hannut</t>
  </si>
  <si>
    <t>Hanret</t>
  </si>
  <si>
    <t>Hansbeke</t>
  </si>
  <si>
    <t>Hantes-Wiheries</t>
  </si>
  <si>
    <t>Hanzinelle</t>
  </si>
  <si>
    <t>Hanzinne</t>
  </si>
  <si>
    <t>Harchies</t>
  </si>
  <si>
    <t>Harelbeke</t>
  </si>
  <si>
    <t>Haren</t>
  </si>
  <si>
    <t>Hargimont</t>
  </si>
  <si>
    <t>Harmignies</t>
  </si>
  <si>
    <t>Harnoncourt</t>
  </si>
  <si>
    <t>Harre</t>
  </si>
  <si>
    <t>Harsin</t>
  </si>
  <si>
    <t>Harveng</t>
  </si>
  <si>
    <t>Harze</t>
  </si>
  <si>
    <t>Hasselt</t>
  </si>
  <si>
    <t>Hastiere-Lavaux</t>
  </si>
  <si>
    <t>Hastiere</t>
  </si>
  <si>
    <t>Hastiere-par-dela</t>
  </si>
  <si>
    <t>Hatrival</t>
  </si>
  <si>
    <t>Haulchin</t>
  </si>
  <si>
    <t>Hauset</t>
  </si>
  <si>
    <t>Haut-Fays</t>
  </si>
  <si>
    <t>Haut-le-Wastia</t>
  </si>
  <si>
    <t>Haut-Ittre</t>
  </si>
  <si>
    <t>Hautrage</t>
  </si>
  <si>
    <t>Havay</t>
  </si>
  <si>
    <t>Havelange</t>
  </si>
  <si>
    <t>Havinnes</t>
  </si>
  <si>
    <t>Havre</t>
  </si>
  <si>
    <t>Hechtel</t>
  </si>
  <si>
    <t>Hechtel-Eksel</t>
  </si>
  <si>
    <t>Heer</t>
  </si>
  <si>
    <t>Heers</t>
  </si>
  <si>
    <t>Hees</t>
  </si>
  <si>
    <t>Heestert</t>
  </si>
  <si>
    <t>Heffen</t>
  </si>
  <si>
    <t>Heikruis</t>
  </si>
  <si>
    <t>Heindonk</t>
  </si>
  <si>
    <t>Heinsch</t>
  </si>
  <si>
    <t>Heist-op-den-Berg</t>
  </si>
  <si>
    <t>Heist</t>
  </si>
  <si>
    <t>Hekelgem</t>
  </si>
  <si>
    <t>Heks</t>
  </si>
  <si>
    <t>Helchteren</t>
  </si>
  <si>
    <t>Heldergem</t>
  </si>
  <si>
    <t>Helecine</t>
  </si>
  <si>
    <t>Helen-Bos</t>
  </si>
  <si>
    <t>Helkijn</t>
  </si>
  <si>
    <t>Hellebecq</t>
  </si>
  <si>
    <t>Hemelveerdegem</t>
  </si>
  <si>
    <t>Hemiksem</t>
  </si>
  <si>
    <t>Hemptinne</t>
  </si>
  <si>
    <t>Hendrieken</t>
  </si>
  <si>
    <t>Henis</t>
  </si>
  <si>
    <t>Hennuyeres</t>
  </si>
  <si>
    <t>Henri-Chapelle</t>
  </si>
  <si>
    <t>Henripont</t>
  </si>
  <si>
    <t>Hensies</t>
  </si>
  <si>
    <t>Heppen</t>
  </si>
  <si>
    <t>Heppenbach</t>
  </si>
  <si>
    <t>Heppignies</t>
  </si>
  <si>
    <t>Herbeumont</t>
  </si>
  <si>
    <t>Herchies</t>
  </si>
  <si>
    <t>Herderen</t>
  </si>
  <si>
    <t>Herdersem</t>
  </si>
  <si>
    <t>Herent</t>
  </si>
  <si>
    <t>Herentals</t>
  </si>
  <si>
    <t>Herenthout</t>
  </si>
  <si>
    <t>Herfelingen</t>
  </si>
  <si>
    <t>Hergenrath</t>
  </si>
  <si>
    <t>Herinnes</t>
  </si>
  <si>
    <t>Herk-de-Stad</t>
  </si>
  <si>
    <t>Hermalle-sous-Huy</t>
  </si>
  <si>
    <t>Hermalle-sous-Argenteau</t>
  </si>
  <si>
    <t>Hermee</t>
  </si>
  <si>
    <t>Hermelgem</t>
  </si>
  <si>
    <t>Hermeton-sur-Meuse</t>
  </si>
  <si>
    <t>Herne</t>
  </si>
  <si>
    <t>Heron</t>
  </si>
  <si>
    <t>Herquegies</t>
  </si>
  <si>
    <t>Herseaux</t>
  </si>
  <si>
    <t>Herselt</t>
  </si>
  <si>
    <t>Herstal</t>
  </si>
  <si>
    <t>Herstappe</t>
  </si>
  <si>
    <t>Hertain</t>
  </si>
  <si>
    <t>Herten</t>
  </si>
  <si>
    <t>Hertsberge</t>
  </si>
  <si>
    <t>Herve</t>
  </si>
  <si>
    <t>Herzele</t>
  </si>
  <si>
    <t>Heule</t>
  </si>
  <si>
    <t>Heure-le-Romain</t>
  </si>
  <si>
    <t>Heure</t>
  </si>
  <si>
    <t>Heurne</t>
  </si>
  <si>
    <t>Heusden</t>
  </si>
  <si>
    <t>Heusden-Zolder</t>
  </si>
  <si>
    <t>Heusy</t>
  </si>
  <si>
    <t>Heuvelland</t>
  </si>
  <si>
    <t>Hever</t>
  </si>
  <si>
    <t>Heverlee</t>
  </si>
  <si>
    <t>Hevillers</t>
  </si>
  <si>
    <t>Heyd</t>
  </si>
  <si>
    <t>Hillegem</t>
  </si>
  <si>
    <t>Hingene</t>
  </si>
  <si>
    <t>Hingeon</t>
  </si>
  <si>
    <t>Hives</t>
  </si>
  <si>
    <t>Hoboken</t>
  </si>
  <si>
    <t>Hodeige</t>
  </si>
  <si>
    <t>Hodimont</t>
  </si>
  <si>
    <t>Hodister</t>
  </si>
  <si>
    <t>Hody</t>
  </si>
  <si>
    <t>Hoegaarden</t>
  </si>
  <si>
    <t>Hoeilaart</t>
  </si>
  <si>
    <t>Hoeke</t>
  </si>
  <si>
    <t>Hoelbeek</t>
  </si>
  <si>
    <t>Hoeleden</t>
  </si>
  <si>
    <t>Hoepertingen</t>
  </si>
  <si>
    <t>Hoeselt</t>
  </si>
  <si>
    <t>Hoevenen</t>
  </si>
  <si>
    <t>Hofstade</t>
  </si>
  <si>
    <t>Hogne</t>
  </si>
  <si>
    <t>Hognoul</t>
  </si>
  <si>
    <t>Hollain</t>
  </si>
  <si>
    <t>Hollange</t>
  </si>
  <si>
    <t>Hollebeke</t>
  </si>
  <si>
    <t>Hollogne-aux-Pierres</t>
  </si>
  <si>
    <t>Hollogne-sur-Geer</t>
  </si>
  <si>
    <t>Holsbeek</t>
  </si>
  <si>
    <t>Hombeek</t>
  </si>
  <si>
    <t>Hombourg</t>
  </si>
  <si>
    <t>Hompre</t>
  </si>
  <si>
    <t>Hondelange</t>
  </si>
  <si>
    <t>Honnay</t>
  </si>
  <si>
    <t>Honnelles</t>
  </si>
  <si>
    <t>Honsem</t>
  </si>
  <si>
    <t>Hooglede</t>
  </si>
  <si>
    <t>Hoogstade</t>
  </si>
  <si>
    <t>Hoogstraten</t>
  </si>
  <si>
    <t>Horebeke</t>
  </si>
  <si>
    <t>Horion-Hozemont</t>
  </si>
  <si>
    <t>Hornu</t>
  </si>
  <si>
    <t>Horpmaal</t>
  </si>
  <si>
    <t>Horrues</t>
  </si>
  <si>
    <t>Hotton</t>
  </si>
  <si>
    <t>Houdemont</t>
  </si>
  <si>
    <t>Houdeng-Goegnies</t>
  </si>
  <si>
    <t>Houdeng-Aimeries</t>
  </si>
  <si>
    <t>Houdremont</t>
  </si>
  <si>
    <t>Houffalize</t>
  </si>
  <si>
    <t>Hour</t>
  </si>
  <si>
    <t>Housse</t>
  </si>
  <si>
    <t>Houtain-le-Val</t>
  </si>
  <si>
    <t>Houtain-Saint-Simeon</t>
  </si>
  <si>
    <t>Houtaing</t>
  </si>
  <si>
    <t>Houtave</t>
  </si>
  <si>
    <t>Houtem</t>
  </si>
  <si>
    <t>Houthalen</t>
  </si>
  <si>
    <t>Houthalen-Helchteren</t>
  </si>
  <si>
    <t>Houthem</t>
  </si>
  <si>
    <t>Houthulst</t>
  </si>
  <si>
    <t>Houtvenne</t>
  </si>
  <si>
    <t>Houwaart</t>
  </si>
  <si>
    <t>Houx</t>
  </si>
  <si>
    <t>Houyet</t>
  </si>
  <si>
    <t>Hove</t>
  </si>
  <si>
    <t>Hoves</t>
  </si>
  <si>
    <t>Howardries</t>
  </si>
  <si>
    <t>Huccorgne</t>
  </si>
  <si>
    <t>Huise</t>
  </si>
  <si>
    <t>Huissignies</t>
  </si>
  <si>
    <t>Huizingen</t>
  </si>
  <si>
    <t>Huldenberg</t>
  </si>
  <si>
    <t>Hulshout</t>
  </si>
  <si>
    <t>Hulsonniaux</t>
  </si>
  <si>
    <t>Hulste</t>
  </si>
  <si>
    <t>Humain</t>
  </si>
  <si>
    <t>Humbeek</t>
  </si>
  <si>
    <t>Hundelgem</t>
  </si>
  <si>
    <t>Huppaye</t>
  </si>
  <si>
    <t>Huy</t>
  </si>
  <si>
    <t>Hyon</t>
  </si>
  <si>
    <t>Ichtegem</t>
  </si>
  <si>
    <t>Iddergem</t>
  </si>
  <si>
    <t>Idegem</t>
  </si>
  <si>
    <t>Ieper</t>
  </si>
  <si>
    <t>Impe</t>
  </si>
  <si>
    <t>Incourt</t>
  </si>
  <si>
    <t>Ingelmunster</t>
  </si>
  <si>
    <t>Ingooigem</t>
  </si>
  <si>
    <t>Irchonwelz</t>
  </si>
  <si>
    <t>Isieres</t>
  </si>
  <si>
    <t>Isnes</t>
  </si>
  <si>
    <t>Itegem</t>
  </si>
  <si>
    <t>Itterbeek</t>
  </si>
  <si>
    <t>Ittre</t>
  </si>
  <si>
    <t>Ivoz-Ramet</t>
  </si>
  <si>
    <t>Ixelles</t>
  </si>
  <si>
    <t>Izegem</t>
  </si>
  <si>
    <t>Izel</t>
  </si>
  <si>
    <t>Izenberge</t>
  </si>
  <si>
    <t>Izier</t>
  </si>
  <si>
    <t>Jabbeke</t>
  </si>
  <si>
    <t>Jalhay</t>
  </si>
  <si>
    <t>Jallet</t>
  </si>
  <si>
    <t>Jamagne</t>
  </si>
  <si>
    <t>Jambes</t>
  </si>
  <si>
    <t>Jamiolle</t>
  </si>
  <si>
    <t>Jamioulx</t>
  </si>
  <si>
    <t>Jamoigne</t>
  </si>
  <si>
    <t>Jandrain-Jandrenouille</t>
  </si>
  <si>
    <t>Jauche</t>
  </si>
  <si>
    <t>Jauchelette</t>
  </si>
  <si>
    <t>Javingue</t>
  </si>
  <si>
    <t>Jehay-Bodegnee</t>
  </si>
  <si>
    <t>Jehonville</t>
  </si>
  <si>
    <t>Jemappes</t>
  </si>
  <si>
    <t>Jemelle</t>
  </si>
  <si>
    <t>Jemeppe-sur-Sambre</t>
  </si>
  <si>
    <t>Jemeppe</t>
  </si>
  <si>
    <t>Jeneffe</t>
  </si>
  <si>
    <t>Jesseren</t>
  </si>
  <si>
    <t>Jette</t>
  </si>
  <si>
    <t>Jeuk</t>
  </si>
  <si>
    <t>Jodoigne-Souveraine</t>
  </si>
  <si>
    <t>Jodoigne</t>
  </si>
  <si>
    <t>Jollain-Merlin</t>
  </si>
  <si>
    <t>Joncret</t>
  </si>
  <si>
    <t>Julemont</t>
  </si>
  <si>
    <t>Jumet</t>
  </si>
  <si>
    <t>Jupille-sur-Meuse</t>
  </si>
  <si>
    <t>Juprelle</t>
  </si>
  <si>
    <t>Jurbise</t>
  </si>
  <si>
    <t>Juseret</t>
  </si>
  <si>
    <t>Kaaskerke</t>
  </si>
  <si>
    <t>Kachtem</t>
  </si>
  <si>
    <t>Kaggevinne</t>
  </si>
  <si>
    <t>Kain</t>
  </si>
  <si>
    <t>Kalken</t>
  </si>
  <si>
    <t>Kallo</t>
  </si>
  <si>
    <t>Kalmthout</t>
  </si>
  <si>
    <t>Kampenhout</t>
  </si>
  <si>
    <t>Kanegem</t>
  </si>
  <si>
    <t>Kanne</t>
  </si>
  <si>
    <t>Kapelle-op-den-Bos</t>
  </si>
  <si>
    <t>Kapellen</t>
  </si>
  <si>
    <t>Kaprijke</t>
  </si>
  <si>
    <t>Kaster</t>
  </si>
  <si>
    <t>Kasterlee</t>
  </si>
  <si>
    <t>Kaulille</t>
  </si>
  <si>
    <t>Keerbergen</t>
  </si>
  <si>
    <t>Keiem</t>
  </si>
  <si>
    <t>Kelmis</t>
  </si>
  <si>
    <t>Kemexhe</t>
  </si>
  <si>
    <t>Kemmel</t>
  </si>
  <si>
    <t>Kemzeke</t>
  </si>
  <si>
    <t>Kerkhove</t>
  </si>
  <si>
    <t>Kerkom</t>
  </si>
  <si>
    <t>Kerkom-bij-Sint-Truiden</t>
  </si>
  <si>
    <t>Kerksken</t>
  </si>
  <si>
    <t>Kermt</t>
  </si>
  <si>
    <t>Kerniel</t>
  </si>
  <si>
    <t>Kersbeek-Miskom</t>
  </si>
  <si>
    <t>Kessel-Lo</t>
  </si>
  <si>
    <t>Kessel</t>
  </si>
  <si>
    <t>Kessenich</t>
  </si>
  <si>
    <t>Kester</t>
  </si>
  <si>
    <t>Kettenis</t>
  </si>
  <si>
    <t>Keumiee</t>
  </si>
  <si>
    <t>Kieldrecht</t>
  </si>
  <si>
    <t>Kinrooi</t>
  </si>
  <si>
    <t>Klein-Gelmen</t>
  </si>
  <si>
    <t>Kleine-Spouwen</t>
  </si>
  <si>
    <t>Kleine-Brogel</t>
  </si>
  <si>
    <t>Klemskerke</t>
  </si>
  <si>
    <t>Klerken</t>
  </si>
  <si>
    <t>Kluisbergen</t>
  </si>
  <si>
    <t>Kluizen</t>
  </si>
  <si>
    <t>Knesselare</t>
  </si>
  <si>
    <t>Knokke-Heist</t>
  </si>
  <si>
    <t>Knokke</t>
  </si>
  <si>
    <t>Kobbegem</t>
  </si>
  <si>
    <t>Koekelare</t>
  </si>
  <si>
    <t>Koekelberg</t>
  </si>
  <si>
    <t>Koersel</t>
  </si>
  <si>
    <t>Koksijde</t>
  </si>
  <si>
    <t>Kolmont</t>
  </si>
  <si>
    <t>Koningshooikt</t>
  </si>
  <si>
    <t>Koninksem</t>
  </si>
  <si>
    <t>Kontich</t>
  </si>
  <si>
    <t>Kooigem</t>
  </si>
  <si>
    <t>Koolkerke</t>
  </si>
  <si>
    <t>Koolskamp</t>
  </si>
  <si>
    <t>Korbeek-Dijle</t>
  </si>
  <si>
    <t>Korbeek-Lo</t>
  </si>
  <si>
    <t>Kortemark</t>
  </si>
  <si>
    <t>Kortenaken</t>
  </si>
  <si>
    <t>Kortenberg</t>
  </si>
  <si>
    <t>Kortessem</t>
  </si>
  <si>
    <t>Kortijs</t>
  </si>
  <si>
    <t>Kortrijk-Dutsel</t>
  </si>
  <si>
    <t>Kortrijk</t>
  </si>
  <si>
    <t>Kozen</t>
  </si>
  <si>
    <t>Kraainem</t>
  </si>
  <si>
    <t>Krombeke</t>
  </si>
  <si>
    <t>Kruibeke</t>
  </si>
  <si>
    <t>Kruishoutem</t>
  </si>
  <si>
    <t>Kumtich</t>
  </si>
  <si>
    <t>Kuringen</t>
  </si>
  <si>
    <t>Kuttekoven</t>
  </si>
  <si>
    <t>Kuurne</t>
  </si>
  <si>
    <t>Kwaadmechelen</t>
  </si>
  <si>
    <t>Kwaremont</t>
  </si>
  <si>
    <t>L'Ecluse</t>
  </si>
  <si>
    <t>L'Escaillere</t>
  </si>
  <si>
    <t>La Bruyere</t>
  </si>
  <si>
    <t>La Louviere</t>
  </si>
  <si>
    <t>La Hulpe</t>
  </si>
  <si>
    <t>La Bouverie</t>
  </si>
  <si>
    <t>La Hestre</t>
  </si>
  <si>
    <t>La Roche-en-Ardenne</t>
  </si>
  <si>
    <t>La Glanerie</t>
  </si>
  <si>
    <t>La Reid</t>
  </si>
  <si>
    <t>La Gleize</t>
  </si>
  <si>
    <t>Laakdal</t>
  </si>
  <si>
    <t>Laar</t>
  </si>
  <si>
    <t>Laarne</t>
  </si>
  <si>
    <t>Labuissiere</t>
  </si>
  <si>
    <t>Lacuisine</t>
  </si>
  <si>
    <t>Ladeuze</t>
  </si>
  <si>
    <t>Laeken</t>
  </si>
  <si>
    <t>Laforet</t>
  </si>
  <si>
    <t>Lahamaide</t>
  </si>
  <si>
    <t>Laken</t>
  </si>
  <si>
    <t>Lamain</t>
  </si>
  <si>
    <t>Lambermont</t>
  </si>
  <si>
    <t>Lambusart</t>
  </si>
  <si>
    <t>Lamine</t>
  </si>
  <si>
    <t>Lamontzee</t>
  </si>
  <si>
    <t>Lamorteau</t>
  </si>
  <si>
    <t>Lampernisse</t>
  </si>
  <si>
    <t>Lanaken</t>
  </si>
  <si>
    <t>Lanaye</t>
  </si>
  <si>
    <t>Landegem</t>
  </si>
  <si>
    <t>Landelies</t>
  </si>
  <si>
    <t>Landen</t>
  </si>
  <si>
    <t>Landenne</t>
  </si>
  <si>
    <t>Landskouter</t>
  </si>
  <si>
    <t>Laneffe</t>
  </si>
  <si>
    <t>Langdorp</t>
  </si>
  <si>
    <t>Langemark-Poelkapelle</t>
  </si>
  <si>
    <t>Langemark</t>
  </si>
  <si>
    <t>Lanklaar</t>
  </si>
  <si>
    <t>Lanquesaint</t>
  </si>
  <si>
    <t>Lantin</t>
  </si>
  <si>
    <t>Lantremange</t>
  </si>
  <si>
    <t>Laplaigne</t>
  </si>
  <si>
    <t>Lapscheure</t>
  </si>
  <si>
    <t>Lasne-Chapelle-Saint-Lambert</t>
  </si>
  <si>
    <t>Lasne</t>
  </si>
  <si>
    <t>Lathuy</t>
  </si>
  <si>
    <t>Latinne</t>
  </si>
  <si>
    <t>Latour</t>
  </si>
  <si>
    <t>Lauw</t>
  </si>
  <si>
    <t>Lauwe</t>
  </si>
  <si>
    <t>Lavacherie</t>
  </si>
  <si>
    <t>Lavaux-Sainte-Anne</t>
  </si>
  <si>
    <t>Lavoir</t>
  </si>
  <si>
    <t>Le Roux</t>
  </si>
  <si>
    <t>Le Roeulx</t>
  </si>
  <si>
    <t>Le Mesnil</t>
  </si>
  <si>
    <t>Lebbeke</t>
  </si>
  <si>
    <t>Lede</t>
  </si>
  <si>
    <t>Ledeberg</t>
  </si>
  <si>
    <t>Ledegem</t>
  </si>
  <si>
    <t>Leefdaal</t>
  </si>
  <si>
    <t>Leerbeek</t>
  </si>
  <si>
    <t>Leernes</t>
  </si>
  <si>
    <t>Leers-Nord</t>
  </si>
  <si>
    <t>Leers-et-Fosteau</t>
  </si>
  <si>
    <t>Leest</t>
  </si>
  <si>
    <t>Leeuwergem</t>
  </si>
  <si>
    <t>Leffinge</t>
  </si>
  <si>
    <t>Leglise</t>
  </si>
  <si>
    <t>Leignon</t>
  </si>
  <si>
    <t>Leisele</t>
  </si>
  <si>
    <t>Leke</t>
  </si>
  <si>
    <t>Lembeek</t>
  </si>
  <si>
    <t>Lembeke</t>
  </si>
  <si>
    <t>Lemberge</t>
  </si>
  <si>
    <t>Lendelede</t>
  </si>
  <si>
    <t>Lennik</t>
  </si>
  <si>
    <t>Lens-Saint-Servais</t>
  </si>
  <si>
    <t>Lens-Saint-Remy</t>
  </si>
  <si>
    <t>Lens-sur-Geer</t>
  </si>
  <si>
    <t>Lens</t>
  </si>
  <si>
    <t>Leopoldsburg</t>
  </si>
  <si>
    <t>Les Avins</t>
  </si>
  <si>
    <t>Les Hayons</t>
  </si>
  <si>
    <t>Les Bulles</t>
  </si>
  <si>
    <t>Les Waleffes</t>
  </si>
  <si>
    <t>Les Bons Villers</t>
  </si>
  <si>
    <t>Lesdain</t>
  </si>
  <si>
    <t>Lessines</t>
  </si>
  <si>
    <t>Lessive</t>
  </si>
  <si>
    <t>Lesterny</t>
  </si>
  <si>
    <t>Lesve</t>
  </si>
  <si>
    <t>Letterhoutem</t>
  </si>
  <si>
    <t>Leugnies</t>
  </si>
  <si>
    <t>Leupegem</t>
  </si>
  <si>
    <t>Leut</t>
  </si>
  <si>
    <t>Leuven</t>
  </si>
  <si>
    <t>Leuze</t>
  </si>
  <si>
    <t>Leuze-en-Hainaut</t>
  </si>
  <si>
    <t>Leval-Trahegnies</t>
  </si>
  <si>
    <t>Leval-Chaudeville</t>
  </si>
  <si>
    <t>Liberchies</t>
  </si>
  <si>
    <t>Libin</t>
  </si>
  <si>
    <t>Libramont</t>
  </si>
  <si>
    <t>Libramont-Chevigny</t>
  </si>
  <si>
    <t>Lichtaart</t>
  </si>
  <si>
    <t>Lichtervelde</t>
  </si>
  <si>
    <t>Liedekerke</t>
  </si>
  <si>
    <t>Lieferinge</t>
  </si>
  <si>
    <t>Liege</t>
  </si>
  <si>
    <t>Lier</t>
  </si>
  <si>
    <t>Lierde</t>
  </si>
  <si>
    <t>Lierneux</t>
  </si>
  <si>
    <t>Liernu</t>
  </si>
  <si>
    <t>Liers</t>
  </si>
  <si>
    <t>Liezele</t>
  </si>
  <si>
    <t>Ligne</t>
  </si>
  <si>
    <t>Ligney</t>
  </si>
  <si>
    <t>Ligny</t>
  </si>
  <si>
    <t>Lille</t>
  </si>
  <si>
    <t>Lillo</t>
  </si>
  <si>
    <t>Lillois-Witterzee</t>
  </si>
  <si>
    <t>Limal</t>
  </si>
  <si>
    <t>Limbourg</t>
  </si>
  <si>
    <t>Limelette</t>
  </si>
  <si>
    <t>Limerle</t>
  </si>
  <si>
    <t>Limont</t>
  </si>
  <si>
    <t>Lincent</t>
  </si>
  <si>
    <t>Linchet</t>
  </si>
  <si>
    <t>Linden</t>
  </si>
  <si>
    <t>Linkebeek</t>
  </si>
  <si>
    <t>Linkhout</t>
  </si>
  <si>
    <t>Linsmeau</t>
  </si>
  <si>
    <t>Lint</t>
  </si>
  <si>
    <t>Linter</t>
  </si>
  <si>
    <t>Lippelo</t>
  </si>
  <si>
    <t>Lisogne</t>
  </si>
  <si>
    <t>Lissewege</t>
  </si>
  <si>
    <t>Lives-sur-Meuse</t>
  </si>
  <si>
    <t>Lixhe</t>
  </si>
  <si>
    <t>Lo-Reninge</t>
  </si>
  <si>
    <t>Lo</t>
  </si>
  <si>
    <t>Lobbes</t>
  </si>
  <si>
    <t>Lochristi</t>
  </si>
  <si>
    <t>Lodelinsart</t>
  </si>
  <si>
    <t>Loenhout</t>
  </si>
  <si>
    <t>Loker</t>
  </si>
  <si>
    <t>Lokeren</t>
  </si>
  <si>
    <t>Loksbergen</t>
  </si>
  <si>
    <t>Lombardsijde</t>
  </si>
  <si>
    <t>Lombise</t>
  </si>
  <si>
    <t>Lommel</t>
  </si>
  <si>
    <t>Lommersweiler</t>
  </si>
  <si>
    <t>Lompret</t>
  </si>
  <si>
    <t>Lomprez</t>
  </si>
  <si>
    <t>Loncin</t>
  </si>
  <si>
    <t>Londerzeel</t>
  </si>
  <si>
    <t>Longchamps</t>
  </si>
  <si>
    <t>Longlier</t>
  </si>
  <si>
    <t>Longueville</t>
  </si>
  <si>
    <t>Longvilly</t>
  </si>
  <si>
    <t>Lontzen</t>
  </si>
  <si>
    <t>Lonzee</t>
  </si>
  <si>
    <t>Loonbeek</t>
  </si>
  <si>
    <t>Loppem</t>
  </si>
  <si>
    <t>Lorce</t>
  </si>
  <si>
    <t>Lot</t>
  </si>
  <si>
    <t>Lotenhulle</t>
  </si>
  <si>
    <t>Louette-Saint-Denis</t>
  </si>
  <si>
    <t>Louette-Saint-Pierre</t>
  </si>
  <si>
    <t>Loupoigne</t>
  </si>
  <si>
    <t>Louveigne</t>
  </si>
  <si>
    <t>Lovendegem</t>
  </si>
  <si>
    <t>Lovenjoel</t>
  </si>
  <si>
    <t>Loverval</t>
  </si>
  <si>
    <t>Loyers</t>
  </si>
  <si>
    <t>Lubbeek</t>
  </si>
  <si>
    <t>Luingne</t>
  </si>
  <si>
    <t>Lummen</t>
  </si>
  <si>
    <t>Lustin</t>
  </si>
  <si>
    <t>Luttre</t>
  </si>
  <si>
    <t>Maarke-Kerkem</t>
  </si>
  <si>
    <t>Maarkedal</t>
  </si>
  <si>
    <t>Maaseik</t>
  </si>
  <si>
    <t>Maasmechelen</t>
  </si>
  <si>
    <t>Mabompre</t>
  </si>
  <si>
    <t>Machelen</t>
  </si>
  <si>
    <t>Macon</t>
  </si>
  <si>
    <t>Macquenoise</t>
  </si>
  <si>
    <t>Maffe</t>
  </si>
  <si>
    <t>Maffle</t>
  </si>
  <si>
    <t>Magnee</t>
  </si>
  <si>
    <t>Maillen</t>
  </si>
  <si>
    <t>Mainvault</t>
  </si>
  <si>
    <t>Maisieres</t>
  </si>
  <si>
    <t>Maissin</t>
  </si>
  <si>
    <t>Maizeret</t>
  </si>
  <si>
    <t>Mal</t>
  </si>
  <si>
    <t>Maldegem</t>
  </si>
  <si>
    <t>Malderen</t>
  </si>
  <si>
    <t>Malempre</t>
  </si>
  <si>
    <t>Maleves-Sainte-Marie-Wastines</t>
  </si>
  <si>
    <t>Malle</t>
  </si>
  <si>
    <t>Malmedy</t>
  </si>
  <si>
    <t>Malonne</t>
  </si>
  <si>
    <t>Malvoisin</t>
  </si>
  <si>
    <t>Manage</t>
  </si>
  <si>
    <t>Manderfeld</t>
  </si>
  <si>
    <t>Manhay</t>
  </si>
  <si>
    <t>Mannekensvere</t>
  </si>
  <si>
    <t>Maransart</t>
  </si>
  <si>
    <t>Marbais</t>
  </si>
  <si>
    <t>Marbaix</t>
  </si>
  <si>
    <t>Marche-lez-Ecaussinnes</t>
  </si>
  <si>
    <t>Marche-les-Dames</t>
  </si>
  <si>
    <t>Marche-en-Famenne</t>
  </si>
  <si>
    <t>Marchienne-au-Pont</t>
  </si>
  <si>
    <t>Marchin</t>
  </si>
  <si>
    <t>Marchipont</t>
  </si>
  <si>
    <t>Marchovelette</t>
  </si>
  <si>
    <t>Marcinelle</t>
  </si>
  <si>
    <t>Marcourt</t>
  </si>
  <si>
    <t>Marcq</t>
  </si>
  <si>
    <t>Marenne</t>
  </si>
  <si>
    <t>Mariakerke</t>
  </si>
  <si>
    <t>Mariekerke</t>
  </si>
  <si>
    <t>Mariembourg</t>
  </si>
  <si>
    <t>Marilles</t>
  </si>
  <si>
    <t>Marke</t>
  </si>
  <si>
    <t>Markegem</t>
  </si>
  <si>
    <t>Marneffe</t>
  </si>
  <si>
    <t>Marquain</t>
  </si>
  <si>
    <t>Martelange</t>
  </si>
  <si>
    <t>Martenslinde</t>
  </si>
  <si>
    <t>Martouzin-Neuville</t>
  </si>
  <si>
    <t>Masbourg</t>
  </si>
  <si>
    <t>Masnuy-Saint-Jean</t>
  </si>
  <si>
    <t>Masnuy-Saint-Pierre</t>
  </si>
  <si>
    <t>Massemen</t>
  </si>
  <si>
    <t>Massenhoven</t>
  </si>
  <si>
    <t>Matagne-la-Grande</t>
  </si>
  <si>
    <t>Matagne-la-Petite</t>
  </si>
  <si>
    <t>Mater</t>
  </si>
  <si>
    <t>Maubray</t>
  </si>
  <si>
    <t>Maulde</t>
  </si>
  <si>
    <t>Maurage</t>
  </si>
  <si>
    <t>Mazee</t>
  </si>
  <si>
    <t>Mazenzele</t>
  </si>
  <si>
    <t>Mazy</t>
  </si>
  <si>
    <t>Mean</t>
  </si>
  <si>
    <t>Mechelen-Bovelingen</t>
  </si>
  <si>
    <t>Mechelen-aan-de-Maas</t>
  </si>
  <si>
    <t>Mechelen</t>
  </si>
  <si>
    <t>Meeffe</t>
  </si>
  <si>
    <t>Meensel-Kiezegem</t>
  </si>
  <si>
    <t>Meer</t>
  </si>
  <si>
    <t>Meerbeek</t>
  </si>
  <si>
    <t>Meerbeke</t>
  </si>
  <si>
    <t>Meerdonk</t>
  </si>
  <si>
    <t>Meerhout</t>
  </si>
  <si>
    <t>Meerle</t>
  </si>
  <si>
    <t>Meeswijk</t>
  </si>
  <si>
    <t>Meetkerke</t>
  </si>
  <si>
    <t>Meeuwen</t>
  </si>
  <si>
    <t>Meeuwen-Gruitrode</t>
  </si>
  <si>
    <t>Mehaigne</t>
  </si>
  <si>
    <t>Meigem</t>
  </si>
  <si>
    <t>Meilegem</t>
  </si>
  <si>
    <t>Meise</t>
  </si>
  <si>
    <t>Meix-devant-Virton</t>
  </si>
  <si>
    <t>Meix-le-Tige</t>
  </si>
  <si>
    <t>Melden</t>
  </si>
  <si>
    <t>Meldert</t>
  </si>
  <si>
    <t>Melen</t>
  </si>
  <si>
    <t>Melin</t>
  </si>
  <si>
    <t>Melkwezer</t>
  </si>
  <si>
    <t>Melle</t>
  </si>
  <si>
    <t>Mellery</t>
  </si>
  <si>
    <t>Melles</t>
  </si>
  <si>
    <t>Mellet</t>
  </si>
  <si>
    <t>Mellier</t>
  </si>
  <si>
    <t>Melsbroek</t>
  </si>
  <si>
    <t>Melsele</t>
  </si>
  <si>
    <t>Melsen</t>
  </si>
  <si>
    <t>Membach</t>
  </si>
  <si>
    <t>Membre</t>
  </si>
  <si>
    <t>Membruggen</t>
  </si>
  <si>
    <t>Mendonk</t>
  </si>
  <si>
    <t>Menen</t>
  </si>
  <si>
    <t>Merbes-Sainte-Marie</t>
  </si>
  <si>
    <t>Merbes-le-Chateau</t>
  </si>
  <si>
    <t>Merchtem</t>
  </si>
  <si>
    <t>Merdorp</t>
  </si>
  <si>
    <t>Mere</t>
  </si>
  <si>
    <t>Merelbeke</t>
  </si>
  <si>
    <t>Merendree</t>
  </si>
  <si>
    <t>Merkem</t>
  </si>
  <si>
    <t>Merksem</t>
  </si>
  <si>
    <t>Merksplas</t>
  </si>
  <si>
    <t>Merlemont</t>
  </si>
  <si>
    <t>Mesen</t>
  </si>
  <si>
    <t>Meslin-l'Eveque</t>
  </si>
  <si>
    <t>Mesnil-Eglise</t>
  </si>
  <si>
    <t>Mesnil-Saint-Blaise</t>
  </si>
  <si>
    <t>Mespelare</t>
  </si>
  <si>
    <t>Messancy</t>
  </si>
  <si>
    <t>Messelbroek</t>
  </si>
  <si>
    <t>Mesvin</t>
  </si>
  <si>
    <t>Mettekoven</t>
  </si>
  <si>
    <t>Mettet</t>
  </si>
  <si>
    <t>Meulebeke</t>
  </si>
  <si>
    <t>Meux</t>
  </si>
  <si>
    <t>Mevergnies-lez-Lens</t>
  </si>
  <si>
    <t>Meyerode</t>
  </si>
  <si>
    <t>Michelbeke</t>
  </si>
  <si>
    <t>Micheroux</t>
  </si>
  <si>
    <t>Middelburg</t>
  </si>
  <si>
    <t>Middelkerke</t>
  </si>
  <si>
    <t>Miecret</t>
  </si>
  <si>
    <t>Mielen-boven-Aalst</t>
  </si>
  <si>
    <t>Mignault</t>
  </si>
  <si>
    <t>Millen</t>
  </si>
  <si>
    <t>Milmort</t>
  </si>
  <si>
    <t>Minderhout</t>
  </si>
  <si>
    <t>Mirwart</t>
  </si>
  <si>
    <t>Modave</t>
  </si>
  <si>
    <t>Moelingen</t>
  </si>
  <si>
    <t>Moen</t>
  </si>
  <si>
    <t>Moerbeke</t>
  </si>
  <si>
    <t>Moere</t>
  </si>
  <si>
    <t>Moerkerke</t>
  </si>
  <si>
    <t>Moerzeke</t>
  </si>
  <si>
    <t>Moha</t>
  </si>
  <si>
    <t>Mohiville</t>
  </si>
  <si>
    <t>Moignelee</t>
  </si>
  <si>
    <t>Moircy</t>
  </si>
  <si>
    <t>Mol</t>
  </si>
  <si>
    <t>Molenbaix</t>
  </si>
  <si>
    <t>Molenbeek-Wersbeek</t>
  </si>
  <si>
    <t>Molenbeek-Saint-Jean</t>
  </si>
  <si>
    <t>Molenbeersel</t>
  </si>
  <si>
    <t>Molenstede</t>
  </si>
  <si>
    <t>Mollem</t>
  </si>
  <si>
    <t>Momalle</t>
  </si>
  <si>
    <t>Momignies</t>
  </si>
  <si>
    <t>Monceau-sur-Sambre</t>
  </si>
  <si>
    <t>Monceau-en-Ardenne</t>
  </si>
  <si>
    <t>Monceau-Imbrechies</t>
  </si>
  <si>
    <t>Mons-lez-Liege</t>
  </si>
  <si>
    <t>Mons</t>
  </si>
  <si>
    <t>Monstreux</t>
  </si>
  <si>
    <t>Mont-sur-Marchienne</t>
  </si>
  <si>
    <t>Mont</t>
  </si>
  <si>
    <t>Mont-Saint-Andre</t>
  </si>
  <si>
    <t>Mont-Saint-Guibert</t>
  </si>
  <si>
    <t>Mont-Sainte-Aldegonde</t>
  </si>
  <si>
    <t>Mont-Sainte-Genevieve</t>
  </si>
  <si>
    <t>Mont-Gauthier</t>
  </si>
  <si>
    <t>Mont-de-l'Enclus</t>
  </si>
  <si>
    <t>Mont-Saint-Aubert</t>
  </si>
  <si>
    <t>Montbliart</t>
  </si>
  <si>
    <t>Montegnee</t>
  </si>
  <si>
    <t>Montenaken</t>
  </si>
  <si>
    <t>Montignies-sur-Sambre</t>
  </si>
  <si>
    <t>Montignies-sur-Roc</t>
  </si>
  <si>
    <t>Montignies-Saint-Christophe</t>
  </si>
  <si>
    <t>Montignies-lez-Lens</t>
  </si>
  <si>
    <t>Montigny-le-Tilleul</t>
  </si>
  <si>
    <t>Montleban</t>
  </si>
  <si>
    <t>Montroeul-au-Bois</t>
  </si>
  <si>
    <t>Montroeul-sur-Haine</t>
  </si>
  <si>
    <t>Montzen</t>
  </si>
  <si>
    <t>Moorsel</t>
  </si>
  <si>
    <t>Moorsele</t>
  </si>
  <si>
    <t>Moorslede</t>
  </si>
  <si>
    <t>Moortsele</t>
  </si>
  <si>
    <t>Mopertingen</t>
  </si>
  <si>
    <t>Moregem</t>
  </si>
  <si>
    <t>Moresnet</t>
  </si>
  <si>
    <t>Morhet</t>
  </si>
  <si>
    <t>Morialme</t>
  </si>
  <si>
    <t>Morkhoven</t>
  </si>
  <si>
    <t>Morlanwelz</t>
  </si>
  <si>
    <t>Morlanwelz-Mariemont</t>
  </si>
  <si>
    <t>Mormont</t>
  </si>
  <si>
    <t>Mornimont</t>
  </si>
  <si>
    <t>Mortier</t>
  </si>
  <si>
    <t>Mortroux</t>
  </si>
  <si>
    <t>Mortsel</t>
  </si>
  <si>
    <t>Morville</t>
  </si>
  <si>
    <t>Moulbaix</t>
  </si>
  <si>
    <t>Mourcourt</t>
  </si>
  <si>
    <t>Mouscron</t>
  </si>
  <si>
    <t>Moustier</t>
  </si>
  <si>
    <t>Mouzaive</t>
  </si>
  <si>
    <t>Moxhe</t>
  </si>
  <si>
    <t>Mozet</t>
  </si>
  <si>
    <t>Muizen</t>
  </si>
  <si>
    <t>Mullem</t>
  </si>
  <si>
    <t>Munkzwalm</t>
  </si>
  <si>
    <t>Muno</t>
  </si>
  <si>
    <t>Munsterbilzen</t>
  </si>
  <si>
    <t>Munte</t>
  </si>
  <si>
    <t>Musson</t>
  </si>
  <si>
    <t>Mussy-la-Ville</t>
  </si>
  <si>
    <t>My</t>
  </si>
  <si>
    <t>Naast</t>
  </si>
  <si>
    <t>Nadrin</t>
  </si>
  <si>
    <t>Nafraiture</t>
  </si>
  <si>
    <t>Nalinnes</t>
  </si>
  <si>
    <t>Nameche</t>
  </si>
  <si>
    <t>Nandrin</t>
  </si>
  <si>
    <t>Naninne</t>
  </si>
  <si>
    <t>Naome</t>
  </si>
  <si>
    <t>Nassogne</t>
  </si>
  <si>
    <t>Natoye</t>
  </si>
  <si>
    <t>Nazareth</t>
  </si>
  <si>
    <t>Nechin</t>
  </si>
  <si>
    <t>Neder-over-Heembeek</t>
  </si>
  <si>
    <t>Nederboelare</t>
  </si>
  <si>
    <t>Nederbrakel</t>
  </si>
  <si>
    <t>Nederename</t>
  </si>
  <si>
    <t>Nederhasselt</t>
  </si>
  <si>
    <t>Nederokkerzeel</t>
  </si>
  <si>
    <t>Nederzwalm</t>
  </si>
  <si>
    <t>Nederzwalm-Hermelgem</t>
  </si>
  <si>
    <t>Neerglabbeek</t>
  </si>
  <si>
    <t>Neerharen</t>
  </si>
  <si>
    <t>Neerhespen</t>
  </si>
  <si>
    <t>Neerheylissem</t>
  </si>
  <si>
    <t>Neerijse</t>
  </si>
  <si>
    <t>Neerlanden</t>
  </si>
  <si>
    <t>Neerlinter</t>
  </si>
  <si>
    <t>Neeroeteren</t>
  </si>
  <si>
    <t>Neerpelt</t>
  </si>
  <si>
    <t>Neerrepen</t>
  </si>
  <si>
    <t>Neervelp</t>
  </si>
  <si>
    <t>Neerwinden</t>
  </si>
  <si>
    <t>Neigem</t>
  </si>
  <si>
    <t>Nerem</t>
  </si>
  <si>
    <t>Nessonvaux</t>
  </si>
  <si>
    <t>Nethen</t>
  </si>
  <si>
    <t>Nettinne</t>
  </si>
  <si>
    <t>Neu-Moresnet</t>
  </si>
  <si>
    <t>Neufchateau</t>
  </si>
  <si>
    <t>Neufmaison</t>
  </si>
  <si>
    <t>Neufvilles</t>
  </si>
  <si>
    <t>Neupre</t>
  </si>
  <si>
    <t>Neuville-sous-Huy</t>
  </si>
  <si>
    <t>Neuville-en-Condroz</t>
  </si>
  <si>
    <t>Neuville</t>
  </si>
  <si>
    <t>Nevele</t>
  </si>
  <si>
    <t>Niel-bij-As</t>
  </si>
  <si>
    <t>Niel-bij-Sint-Truiden</t>
  </si>
  <si>
    <t>Niel</t>
  </si>
  <si>
    <t>Nieuwenhove</t>
  </si>
  <si>
    <t>Nieuwenrode</t>
  </si>
  <si>
    <t>Nieuwerkerken</t>
  </si>
  <si>
    <t>Nieuwkapelle</t>
  </si>
  <si>
    <t>Nieuwkerke</t>
  </si>
  <si>
    <t>Nieuwkerken-Waas</t>
  </si>
  <si>
    <t>Nieuwmunster</t>
  </si>
  <si>
    <t>Nieuwpoort</t>
  </si>
  <si>
    <t>Nieuwrode</t>
  </si>
  <si>
    <t>Nijlen</t>
  </si>
  <si>
    <t>Nil-Saint-Vincent-Saint-Martin</t>
  </si>
  <si>
    <t>Nimy</t>
  </si>
  <si>
    <t>Ninove</t>
  </si>
  <si>
    <t>Nismes</t>
  </si>
  <si>
    <t>Nivelles</t>
  </si>
  <si>
    <t>Niverlee</t>
  </si>
  <si>
    <t>Nives</t>
  </si>
  <si>
    <t>Nobressart</t>
  </si>
  <si>
    <t>Nodebais</t>
  </si>
  <si>
    <t>Noduwez</t>
  </si>
  <si>
    <t>Noirchain</t>
  </si>
  <si>
    <t>Noirefontaine</t>
  </si>
  <si>
    <t>Noiseux</t>
  </si>
  <si>
    <t>Nokere</t>
  </si>
  <si>
    <t>Nollevaux</t>
  </si>
  <si>
    <t>Noorderwijk</t>
  </si>
  <si>
    <t>Noordschote</t>
  </si>
  <si>
    <t>Nossegem</t>
  </si>
  <si>
    <t>Nothomb</t>
  </si>
  <si>
    <t>Nouvelles</t>
  </si>
  <si>
    <t>Noville</t>
  </si>
  <si>
    <t>Noville-sur-Mehaigne</t>
  </si>
  <si>
    <t>Noville-les-Bois</t>
  </si>
  <si>
    <t>Nukerke</t>
  </si>
  <si>
    <t>Obaix</t>
  </si>
  <si>
    <t>Obigies</t>
  </si>
  <si>
    <t>Obourg</t>
  </si>
  <si>
    <t>Ochamps</t>
  </si>
  <si>
    <t>Ocquier</t>
  </si>
  <si>
    <t>Odeigne</t>
  </si>
  <si>
    <t>Odeur</t>
  </si>
  <si>
    <t>Oedelem</t>
  </si>
  <si>
    <t>Oekene</t>
  </si>
  <si>
    <t>Oelegem</t>
  </si>
  <si>
    <t>Oeren</t>
  </si>
  <si>
    <t>Oeselgem</t>
  </si>
  <si>
    <t>Oetingen</t>
  </si>
  <si>
    <t>Oeudeghien</t>
  </si>
  <si>
    <t>Oevel</t>
  </si>
  <si>
    <t>Offagne</t>
  </si>
  <si>
    <t>Ogy</t>
  </si>
  <si>
    <t>Ohain</t>
  </si>
  <si>
    <t>Ohey</t>
  </si>
  <si>
    <t>Oignies-en-Thierache</t>
  </si>
  <si>
    <t>Oisquercq</t>
  </si>
  <si>
    <t>Oizy</t>
  </si>
  <si>
    <t>Okegem</t>
  </si>
  <si>
    <t>Olen</t>
  </si>
  <si>
    <t>Oleye</t>
  </si>
  <si>
    <t>Ollignies</t>
  </si>
  <si>
    <t>Olloy-sur-Viroin</t>
  </si>
  <si>
    <t>Olmen</t>
  </si>
  <si>
    <t>Olne</t>
  </si>
  <si>
    <t>Olsene</t>
  </si>
  <si>
    <t>Omal</t>
  </si>
  <si>
    <t>Ombret-Rawsa</t>
  </si>
  <si>
    <t>Omezee</t>
  </si>
  <si>
    <t>On</t>
  </si>
  <si>
    <t>Onhaye</t>
  </si>
  <si>
    <t>Onkerzele</t>
  </si>
  <si>
    <t>Onnezies</t>
  </si>
  <si>
    <t>Onoz</t>
  </si>
  <si>
    <t>Onze-Lieve-Vrouw-Lombeek</t>
  </si>
  <si>
    <t>Onze-Lieve-Vrouw-Waver</t>
  </si>
  <si>
    <t>Ooigem</t>
  </si>
  <si>
    <t>Ooike</t>
  </si>
  <si>
    <t>Oombergen</t>
  </si>
  <si>
    <t>Oorbeek</t>
  </si>
  <si>
    <t>Oordegem</t>
  </si>
  <si>
    <t>Oostakker</t>
  </si>
  <si>
    <t>Oostduinkerke</t>
  </si>
  <si>
    <t>Oosteeklo</t>
  </si>
  <si>
    <t>Oostende</t>
  </si>
  <si>
    <t>Oosterzele</t>
  </si>
  <si>
    <t>Oostham</t>
  </si>
  <si>
    <t>Oostkamp</t>
  </si>
  <si>
    <t>Oostkerke</t>
  </si>
  <si>
    <t>Oostmalle</t>
  </si>
  <si>
    <t>Oostnieuwkerke</t>
  </si>
  <si>
    <t>Oostrozebeke</t>
  </si>
  <si>
    <t>Oostvleteren</t>
  </si>
  <si>
    <t>Oostwinkel</t>
  </si>
  <si>
    <t>Opbrakel</t>
  </si>
  <si>
    <t>Opdorp</t>
  </si>
  <si>
    <t>Opglabbeek</t>
  </si>
  <si>
    <t>Opgrimbie</t>
  </si>
  <si>
    <t>Ophain-Bois-Seigneur-Isaac</t>
  </si>
  <si>
    <t>Ophasselt</t>
  </si>
  <si>
    <t>Opheers</t>
  </si>
  <si>
    <t>Opheylissem</t>
  </si>
  <si>
    <t>Ophoven</t>
  </si>
  <si>
    <t>Opitter</t>
  </si>
  <si>
    <t>Oplinter</t>
  </si>
  <si>
    <t>Opoeteren</t>
  </si>
  <si>
    <t>Opont</t>
  </si>
  <si>
    <t>Opprebais</t>
  </si>
  <si>
    <t>Oppuurs</t>
  </si>
  <si>
    <t>Opvelp</t>
  </si>
  <si>
    <t>Opwijk</t>
  </si>
  <si>
    <t>Orbais</t>
  </si>
  <si>
    <t>Orchimont</t>
  </si>
  <si>
    <t>Orcq</t>
  </si>
  <si>
    <t>Ordingen</t>
  </si>
  <si>
    <t>Oret</t>
  </si>
  <si>
    <t>Oreye</t>
  </si>
  <si>
    <t>Orgeo</t>
  </si>
  <si>
    <t>Ormeignies</t>
  </si>
  <si>
    <t>Orp-le-Grand</t>
  </si>
  <si>
    <t>Orp-Jauche</t>
  </si>
  <si>
    <t>Orroir</t>
  </si>
  <si>
    <t>Orsmaal</t>
  </si>
  <si>
    <t>Orsmaal-Gussenhoven</t>
  </si>
  <si>
    <t>Ortho</t>
  </si>
  <si>
    <t>Ostiches</t>
  </si>
  <si>
    <t>Otegem</t>
  </si>
  <si>
    <t>Oteppe</t>
  </si>
  <si>
    <t>Othee</t>
  </si>
  <si>
    <t>Otrange</t>
  </si>
  <si>
    <t>Ottenburg</t>
  </si>
  <si>
    <t>Ottergem</t>
  </si>
  <si>
    <t>Ottignies-Louvain-la-Neuve</t>
  </si>
  <si>
    <t>Ottignies</t>
  </si>
  <si>
    <t>Oud-Heverlee</t>
  </si>
  <si>
    <t>Oud-Turnhout</t>
  </si>
  <si>
    <t>Oudegem</t>
  </si>
  <si>
    <t>Oudekapelle</t>
  </si>
  <si>
    <t>Oudenaarde</t>
  </si>
  <si>
    <t>Oudenaken</t>
  </si>
  <si>
    <t>Oudenburg</t>
  </si>
  <si>
    <t>Oudergem</t>
  </si>
  <si>
    <t>Ouffet</t>
  </si>
  <si>
    <t>Ougree</t>
  </si>
  <si>
    <t>Oupeye</t>
  </si>
  <si>
    <t>Outer</t>
  </si>
  <si>
    <t>Outgaarden</t>
  </si>
  <si>
    <t>Outrelouxhe</t>
  </si>
  <si>
    <t>Outrijve</t>
  </si>
  <si>
    <t>Ouwegem</t>
  </si>
  <si>
    <t>Overboelare</t>
  </si>
  <si>
    <t>Overhespen</t>
  </si>
  <si>
    <t>Overijse</t>
  </si>
  <si>
    <t>Overmere</t>
  </si>
  <si>
    <t>Overpelt</t>
  </si>
  <si>
    <t>Overrepen</t>
  </si>
  <si>
    <t>Overwinden</t>
  </si>
  <si>
    <t>Paal</t>
  </si>
  <si>
    <t>Paifve</t>
  </si>
  <si>
    <t>Pailhe</t>
  </si>
  <si>
    <t>Paliseul</t>
  </si>
  <si>
    <t>Pamel</t>
  </si>
  <si>
    <t>Papignies</t>
  </si>
  <si>
    <t>Parike</t>
  </si>
  <si>
    <t>Passendale</t>
  </si>
  <si>
    <t>Patignies</t>
  </si>
  <si>
    <t>Paturages</t>
  </si>
  <si>
    <t>Paulatem</t>
  </si>
  <si>
    <t>Pecq</t>
  </si>
  <si>
    <t>Peer</t>
  </si>
  <si>
    <t>Peissant</t>
  </si>
  <si>
    <t>Pellaines</t>
  </si>
  <si>
    <t>Pellenberg</t>
  </si>
  <si>
    <t>Pepingen</t>
  </si>
  <si>
    <t>Pepinster</t>
  </si>
  <si>
    <t>Perk</t>
  </si>
  <si>
    <t>Peronnes</t>
  </si>
  <si>
    <t>Peruwelz</t>
  </si>
  <si>
    <t>Pervijze</t>
  </si>
  <si>
    <t>Perwez</t>
  </si>
  <si>
    <t>Pesche</t>
  </si>
  <si>
    <t>Pessoux</t>
  </si>
  <si>
    <t>Petegem-aan-de-Leie</t>
  </si>
  <si>
    <t>Petegem-aan-de-Schelde</t>
  </si>
  <si>
    <t>Petigny</t>
  </si>
  <si>
    <t>Petit-Roeulx-lez-Braine</t>
  </si>
  <si>
    <t>Petit-Fays</t>
  </si>
  <si>
    <t>Petit-Enghien</t>
  </si>
  <si>
    <t>Petit-Hallet</t>
  </si>
  <si>
    <t>Petit-Thier</t>
  </si>
  <si>
    <t>Petit-Rechain</t>
  </si>
  <si>
    <t>Petit-Roeulx-lez-Nivelles</t>
  </si>
  <si>
    <t>Petite-Chapelle</t>
  </si>
  <si>
    <t>Peutie</t>
  </si>
  <si>
    <t>Philippeville</t>
  </si>
  <si>
    <t>Pieton</t>
  </si>
  <si>
    <t>Pietrain</t>
  </si>
  <si>
    <t>Pietrebais</t>
  </si>
  <si>
    <t>Pipaix</t>
  </si>
  <si>
    <t>Piringen</t>
  </si>
  <si>
    <t>Pironchamps</t>
  </si>
  <si>
    <t>Pittem</t>
  </si>
  <si>
    <t>Plainevaux</t>
  </si>
  <si>
    <t>Plancenoit</t>
  </si>
  <si>
    <t>Ploegsteert</t>
  </si>
  <si>
    <t>Plombieres</t>
  </si>
  <si>
    <t>Poederlee</t>
  </si>
  <si>
    <t>Poeke</t>
  </si>
  <si>
    <t>Poelkapelle</t>
  </si>
  <si>
    <t>Poesele</t>
  </si>
  <si>
    <t>Pollare</t>
  </si>
  <si>
    <t>Polleur</t>
  </si>
  <si>
    <t>Pollinkhove</t>
  </si>
  <si>
    <t>Pommeroeul</t>
  </si>
  <si>
    <t>Pondr“me</t>
  </si>
  <si>
    <t>Pont-de-Loup</t>
  </si>
  <si>
    <t>Pont-a-Celles</t>
  </si>
  <si>
    <t>Pontillas</t>
  </si>
  <si>
    <t>Poperinge</t>
  </si>
  <si>
    <t>Poppel</t>
  </si>
  <si>
    <t>Popuelles</t>
  </si>
  <si>
    <t>Porcheresse</t>
  </si>
  <si>
    <t>Pottes</t>
  </si>
  <si>
    <t>Poucet</t>
  </si>
  <si>
    <t>Poulseur</t>
  </si>
  <si>
    <t>Poupehan</t>
  </si>
  <si>
    <t>Pousset</t>
  </si>
  <si>
    <t>Presgaux</t>
  </si>
  <si>
    <t>Presles</t>
  </si>
  <si>
    <t>Profondeville</t>
  </si>
  <si>
    <t>Proven</t>
  </si>
  <si>
    <t>Pry</t>
  </si>
  <si>
    <t>Pulderbos</t>
  </si>
  <si>
    <t>Pulle</t>
  </si>
  <si>
    <t>Purnode</t>
  </si>
  <si>
    <t>Pussemange</t>
  </si>
  <si>
    <t>Putte</t>
  </si>
  <si>
    <t>Puurs</t>
  </si>
  <si>
    <t>Quaregnon</t>
  </si>
  <si>
    <t>Quartes</t>
  </si>
  <si>
    <t>Quenast</t>
  </si>
  <si>
    <t>Queue-du-Bois</t>
  </si>
  <si>
    <t>Quevaucamps</t>
  </si>
  <si>
    <t>Quevy-le-Petit</t>
  </si>
  <si>
    <t>Quevy</t>
  </si>
  <si>
    <t>Quevy-le-Grand</t>
  </si>
  <si>
    <t>Quievrain</t>
  </si>
  <si>
    <t>Rachecourt</t>
  </si>
  <si>
    <t>Racour</t>
  </si>
  <si>
    <t>Raeren</t>
  </si>
  <si>
    <t>Ragnies</t>
  </si>
  <si>
    <t>Rahier</t>
  </si>
  <si>
    <t>Ramegnies</t>
  </si>
  <si>
    <t>Ramegnies-Chin</t>
  </si>
  <si>
    <t>Ramelot</t>
  </si>
  <si>
    <t>Ramillies-Offus</t>
  </si>
  <si>
    <t>Ramillies</t>
  </si>
  <si>
    <t>Ramsdonk</t>
  </si>
  <si>
    <t>Ramsel</t>
  </si>
  <si>
    <t>Ramskapelle</t>
  </si>
  <si>
    <t>Rance</t>
  </si>
  <si>
    <t>Ransart</t>
  </si>
  <si>
    <t>Ransberg</t>
  </si>
  <si>
    <t>Ranst</t>
  </si>
  <si>
    <t>Ravels</t>
  </si>
  <si>
    <t>Rebaix</t>
  </si>
  <si>
    <t>Rebecq-Rognon</t>
  </si>
  <si>
    <t>Rebecq</t>
  </si>
  <si>
    <t>Recht</t>
  </si>
  <si>
    <t>Recogne</t>
  </si>
  <si>
    <t>Redu</t>
  </si>
  <si>
    <t>Reet</t>
  </si>
  <si>
    <t>Rekem</t>
  </si>
  <si>
    <t>Rekkem</t>
  </si>
  <si>
    <t>Relegem</t>
  </si>
  <si>
    <t>Remagne</t>
  </si>
  <si>
    <t>Remersdaal</t>
  </si>
  <si>
    <t>Remicourt</t>
  </si>
  <si>
    <t>Rendeux</t>
  </si>
  <si>
    <t>Reninge</t>
  </si>
  <si>
    <t>Reningelst</t>
  </si>
  <si>
    <t>Renlies</t>
  </si>
  <si>
    <t>Reppel</t>
  </si>
  <si>
    <t>Ressaix</t>
  </si>
  <si>
    <t>Ressegem</t>
  </si>
  <si>
    <t>Resteigne</t>
  </si>
  <si>
    <t>Retie</t>
  </si>
  <si>
    <t>Retinne</t>
  </si>
  <si>
    <t>Reuland</t>
  </si>
  <si>
    <t>Reves</t>
  </si>
  <si>
    <t>Rhisnes</t>
  </si>
  <si>
    <t>Richelle</t>
  </si>
  <si>
    <t>Riemst</t>
  </si>
  <si>
    <t>Rienne</t>
  </si>
  <si>
    <t>Riezes</t>
  </si>
  <si>
    <t>Rijkel</t>
  </si>
  <si>
    <t>Rijkevorsel</t>
  </si>
  <si>
    <t>Rijkhoven</t>
  </si>
  <si>
    <t>Rijmenam</t>
  </si>
  <si>
    <t>Riksingen</t>
  </si>
  <si>
    <t>Rillaar</t>
  </si>
  <si>
    <t>Riviere</t>
  </si>
  <si>
    <t>Rixensart</t>
  </si>
  <si>
    <t>Robechies</t>
  </si>
  <si>
    <t>Robelmont</t>
  </si>
  <si>
    <t>Robertville</t>
  </si>
  <si>
    <t>Roborst</t>
  </si>
  <si>
    <t>Rochefort</t>
  </si>
  <si>
    <t>Rochehaut</t>
  </si>
  <si>
    <t>Rocherath</t>
  </si>
  <si>
    <t>Roclenge-sur-Geer</t>
  </si>
  <si>
    <t>Rocourt</t>
  </si>
  <si>
    <t>Roesbrugge-Haringe</t>
  </si>
  <si>
    <t>Roeselare</t>
  </si>
  <si>
    <t>Rognee</t>
  </si>
  <si>
    <t>Roisin</t>
  </si>
  <si>
    <t>Roksem</t>
  </si>
  <si>
    <t>Rollegem</t>
  </si>
  <si>
    <t>Rollegem-Kapelle</t>
  </si>
  <si>
    <t>Roloux</t>
  </si>
  <si>
    <t>Roly</t>
  </si>
  <si>
    <t>Romedenne</t>
  </si>
  <si>
    <t>Romeree</t>
  </si>
  <si>
    <t>Romershoven</t>
  </si>
  <si>
    <t>Romsee</t>
  </si>
  <si>
    <t>Rongy</t>
  </si>
  <si>
    <t>Ronquieres</t>
  </si>
  <si>
    <t>Ronse</t>
  </si>
  <si>
    <t>Ronsele</t>
  </si>
  <si>
    <t>Roosbeek</t>
  </si>
  <si>
    <t>Roosdaal</t>
  </si>
  <si>
    <t>Rosee</t>
  </si>
  <si>
    <t>Roselies</t>
  </si>
  <si>
    <t>Rosieres</t>
  </si>
  <si>
    <t>Rosmeer</t>
  </si>
  <si>
    <t>Rosoux-Crenwick</t>
  </si>
  <si>
    <t>Rossignol</t>
  </si>
  <si>
    <t>Rotem</t>
  </si>
  <si>
    <t>Rotheux-Rimiere</t>
  </si>
  <si>
    <t>Rotselaar</t>
  </si>
  <si>
    <t>Roucourt</t>
  </si>
  <si>
    <t>Rouveroy</t>
  </si>
  <si>
    <t>Rouvreux</t>
  </si>
  <si>
    <t>Rouvroy</t>
  </si>
  <si>
    <t>Roux</t>
  </si>
  <si>
    <t>Roux-Miroir</t>
  </si>
  <si>
    <t>Roy</t>
  </si>
  <si>
    <t>Rozebeke</t>
  </si>
  <si>
    <t>Ruddervoorde</t>
  </si>
  <si>
    <t>Ruette</t>
  </si>
  <si>
    <t>Ruien</t>
  </si>
  <si>
    <t>Ruisbroek</t>
  </si>
  <si>
    <t>Ruiselede</t>
  </si>
  <si>
    <t>Rukkelingen-Loon</t>
  </si>
  <si>
    <t>Rulles</t>
  </si>
  <si>
    <t>Rumbeke</t>
  </si>
  <si>
    <t>Rumes</t>
  </si>
  <si>
    <t>Rumillies</t>
  </si>
  <si>
    <t>Rummen</t>
  </si>
  <si>
    <t>Rumsdorp</t>
  </si>
  <si>
    <t>Rumst</t>
  </si>
  <si>
    <t>Runkelen</t>
  </si>
  <si>
    <t>Rupelmonde</t>
  </si>
  <si>
    <t>Russeignies</t>
  </si>
  <si>
    <t>Rutten</t>
  </si>
  <si>
    <t>Saint-Remy</t>
  </si>
  <si>
    <t>Saint-Andre</t>
  </si>
  <si>
    <t>Saint-Gery</t>
  </si>
  <si>
    <t>Saint-Germain</t>
  </si>
  <si>
    <t>Saint-Remy-Geest</t>
  </si>
  <si>
    <t>Saint-Martin</t>
  </si>
  <si>
    <t>Saint-Sauveur</t>
  </si>
  <si>
    <t>Saint-Denis</t>
  </si>
  <si>
    <t>Saint-Amand</t>
  </si>
  <si>
    <t>Saint-Medard</t>
  </si>
  <si>
    <t>Saint-Leger</t>
  </si>
  <si>
    <t>Saint-Vaast</t>
  </si>
  <si>
    <t>Saint-Jean-Geest</t>
  </si>
  <si>
    <t>Saint-Aubin</t>
  </si>
  <si>
    <t>Saint-Nicolas</t>
  </si>
  <si>
    <t>Saint-Josse-ten-Noode</t>
  </si>
  <si>
    <t>Saint-Ghislain</t>
  </si>
  <si>
    <t>Saint-Symphorien</t>
  </si>
  <si>
    <t>Saint-Servais</t>
  </si>
  <si>
    <t>Saint-Marc</t>
  </si>
  <si>
    <t>Saint-Severin</t>
  </si>
  <si>
    <t>Saint-Georges-sur-Meuse</t>
  </si>
  <si>
    <t>Saint-Hubert</t>
  </si>
  <si>
    <t>Saint-Gerard</t>
  </si>
  <si>
    <t>Saint-Pierre</t>
  </si>
  <si>
    <t>Saint-Gilles</t>
  </si>
  <si>
    <t>Saint-Vincent</t>
  </si>
  <si>
    <t>Saint-Mard</t>
  </si>
  <si>
    <t>Saint-Maur</t>
  </si>
  <si>
    <t>Sainte-Cecile</t>
  </si>
  <si>
    <t>Sainte-Marie</t>
  </si>
  <si>
    <t>Sainte-Marie-Chevigny</t>
  </si>
  <si>
    <t>Sainte-Ode</t>
  </si>
  <si>
    <t>Saintes</t>
  </si>
  <si>
    <t>Saive</t>
  </si>
  <si>
    <t>Salles</t>
  </si>
  <si>
    <t>Samart</t>
  </si>
  <si>
    <t>Sambreville</t>
  </si>
  <si>
    <t>Samree</t>
  </si>
  <si>
    <t>Sankt Vith</t>
  </si>
  <si>
    <t>Sars-la-Bruyere</t>
  </si>
  <si>
    <t>Sars-la-Buissiere</t>
  </si>
  <si>
    <t>Sart-Bernard</t>
  </si>
  <si>
    <t>Sart-Saint-Laurent</t>
  </si>
  <si>
    <t>Sart-Custinne</t>
  </si>
  <si>
    <t>Sart</t>
  </si>
  <si>
    <t>Sart-Eustache</t>
  </si>
  <si>
    <t>Sart-en-Fagne</t>
  </si>
  <si>
    <t>Sart-Dames-Avelines</t>
  </si>
  <si>
    <t>Sautin</t>
  </si>
  <si>
    <t>Sautour</t>
  </si>
  <si>
    <t>Sauveniere</t>
  </si>
  <si>
    <t>Schaarbeek</t>
  </si>
  <si>
    <t>Schaerbeek</t>
  </si>
  <si>
    <t>Schaffen</t>
  </si>
  <si>
    <t>Schalkhoven</t>
  </si>
  <si>
    <t>Schaltin</t>
  </si>
  <si>
    <t>Schelderode</t>
  </si>
  <si>
    <t>Scheldewindeke</t>
  </si>
  <si>
    <t>Schelle</t>
  </si>
  <si>
    <t>Schellebelle</t>
  </si>
  <si>
    <t>Schendelbeke</t>
  </si>
  <si>
    <t>Schepdaal</t>
  </si>
  <si>
    <t>Scherpenheuvel</t>
  </si>
  <si>
    <t>Scherpenheuvel-Zichem</t>
  </si>
  <si>
    <t>Schilde</t>
  </si>
  <si>
    <t>Schoenberg</t>
  </si>
  <si>
    <t>Schoonaarde</t>
  </si>
  <si>
    <t>Schore</t>
  </si>
  <si>
    <t>Schorisse</t>
  </si>
  <si>
    <t>Schoten</t>
  </si>
  <si>
    <t>Schriek</t>
  </si>
  <si>
    <t>Schuiferskapelle</t>
  </si>
  <si>
    <t>Schulen</t>
  </si>
  <si>
    <t>Sclayn</t>
  </si>
  <si>
    <t>Scy</t>
  </si>
  <si>
    <t>Seilles</t>
  </si>
  <si>
    <t>Selange</t>
  </si>
  <si>
    <t>Seloignes</t>
  </si>
  <si>
    <t>Semmerzake</t>
  </si>
  <si>
    <t>Seneffe</t>
  </si>
  <si>
    <t>Sensenruth</t>
  </si>
  <si>
    <t>Seny</t>
  </si>
  <si>
    <t>Senzeille</t>
  </si>
  <si>
    <t>Septon</t>
  </si>
  <si>
    <t>Seraing-le-Chateau</t>
  </si>
  <si>
    <t>Seraing</t>
  </si>
  <si>
    <t>Serinchamps</t>
  </si>
  <si>
    <t>Serskamp</t>
  </si>
  <si>
    <t>Serville</t>
  </si>
  <si>
    <t>Sibret</t>
  </si>
  <si>
    <t>Sijsele</t>
  </si>
  <si>
    <t>Silenrieux</t>
  </si>
  <si>
    <t>Silly</t>
  </si>
  <si>
    <t>Sinaai</t>
  </si>
  <si>
    <t>Sinsin</t>
  </si>
  <si>
    <t>Sint-Joris</t>
  </si>
  <si>
    <t>Sint-Martens-Leerne</t>
  </si>
  <si>
    <t>Sint-Andries</t>
  </si>
  <si>
    <t>Sint-Kruis</t>
  </si>
  <si>
    <t>Sint-Michiels</t>
  </si>
  <si>
    <t>Sint-Pieters-op-de-Dijk</t>
  </si>
  <si>
    <t>Sint-Lenaarts</t>
  </si>
  <si>
    <t>Sint-Gillis-bij-Dendermonde</t>
  </si>
  <si>
    <t>Sint-Ulriks-Kapelle</t>
  </si>
  <si>
    <t>Sint-Rijkers</t>
  </si>
  <si>
    <t>Sint-Jacobs-Kapelle</t>
  </si>
  <si>
    <t>Sint-Martens-Bodegem</t>
  </si>
  <si>
    <t>Sint-Job-in-'t Goor</t>
  </si>
  <si>
    <t>Sint-Kornelis-Horebeke</t>
  </si>
  <si>
    <t>Sint-Amandsberg</t>
  </si>
  <si>
    <t>Sint-Lambrechts-Herk</t>
  </si>
  <si>
    <t>Sint-Denijs-Westrem</t>
  </si>
  <si>
    <t>Sint-Kruis-Winkel</t>
  </si>
  <si>
    <t>Sint-Agatha-Rode</t>
  </si>
  <si>
    <t>Sint-Antelinks</t>
  </si>
  <si>
    <t>Sint-Lievens-Esse</t>
  </si>
  <si>
    <t>Sint-Pieters-Rode</t>
  </si>
  <si>
    <t>Sint-Jan</t>
  </si>
  <si>
    <t>Sint-Pieters-Kapelle</t>
  </si>
  <si>
    <t>Sint-Huibrechts-Hern</t>
  </si>
  <si>
    <t>Sint-Maria-Horebeke</t>
  </si>
  <si>
    <t>Sint-Martens-Lennik</t>
  </si>
  <si>
    <t>Sint-Eloois-Winkel</t>
  </si>
  <si>
    <t>Sint-Huibrechts-Lille</t>
  </si>
  <si>
    <t>Sint-Martens-Lierde</t>
  </si>
  <si>
    <t>Sint-Joris-Weert</t>
  </si>
  <si>
    <t>Sint-Maria-Lierde</t>
  </si>
  <si>
    <t>Sint-Kwintens-Lennik</t>
  </si>
  <si>
    <t>Sint-Margriete-Houtem</t>
  </si>
  <si>
    <t>Sint-Jans-Molenbeek</t>
  </si>
  <si>
    <t>Sint-Lambrechts-Woluwe</t>
  </si>
  <si>
    <t>Sint-Joost-ten-Node</t>
  </si>
  <si>
    <t>Sint-Katelijne-Waver</t>
  </si>
  <si>
    <t>Sint-Pieters-Leeuw</t>
  </si>
  <si>
    <t>Sint-Eloois-Vijve</t>
  </si>
  <si>
    <t>Sint-Lievens-Houtem</t>
  </si>
  <si>
    <t>Sint-Joris-Winge</t>
  </si>
  <si>
    <t>Sint-Denijs</t>
  </si>
  <si>
    <t>Sint-Margriete</t>
  </si>
  <si>
    <t>Sint-Martens-Latem</t>
  </si>
  <si>
    <t>Sint-Laureins</t>
  </si>
  <si>
    <t>Sint-Jan-in-Eremo</t>
  </si>
  <si>
    <t>Sint-Pauwels</t>
  </si>
  <si>
    <t>Sint-Martens-Voeren</t>
  </si>
  <si>
    <t>Sint-Stevens-Woluwe</t>
  </si>
  <si>
    <t>Sint-Pieters-Woluwe</t>
  </si>
  <si>
    <t>Sint-Goriks-Oudenhove</t>
  </si>
  <si>
    <t>Sint-Katherina-Lombeek</t>
  </si>
  <si>
    <t>Sint-Amands</t>
  </si>
  <si>
    <t>Sint-Denijs-Boekel</t>
  </si>
  <si>
    <t>Sint-Blasius-Boekel</t>
  </si>
  <si>
    <t>Sint-Truiden</t>
  </si>
  <si>
    <t>Sint-Maria-Oudenhove</t>
  </si>
  <si>
    <t>Sint-Genesius-Rode</t>
  </si>
  <si>
    <t>Sint-Agatha-Berchem</t>
  </si>
  <si>
    <t>Sint-Laureins-Berchem</t>
  </si>
  <si>
    <t>Sint-Baafs-Vijve</t>
  </si>
  <si>
    <t>Sint-Pieters-Voeren</t>
  </si>
  <si>
    <t>Sint-Maria-Latem</t>
  </si>
  <si>
    <t>Sint-Gillis-Waas</t>
  </si>
  <si>
    <t>Sint-Gillis</t>
  </si>
  <si>
    <t>Sint-Niklaas</t>
  </si>
  <si>
    <t>Sippenaeken</t>
  </si>
  <si>
    <t>Sirault</t>
  </si>
  <si>
    <t>Sivry</t>
  </si>
  <si>
    <t>Sivry-Rance</t>
  </si>
  <si>
    <t>Sleidinge</t>
  </si>
  <si>
    <t>Slijpe</t>
  </si>
  <si>
    <t>Slins</t>
  </si>
  <si>
    <t>Sluizen</t>
  </si>
  <si>
    <t>Smeerebbe-Vloerzegem</t>
  </si>
  <si>
    <t>Smetlede</t>
  </si>
  <si>
    <t>Smuid</t>
  </si>
  <si>
    <t>Snaaskerke</t>
  </si>
  <si>
    <t>Snellegem</t>
  </si>
  <si>
    <t>Soheit-Tinlot</t>
  </si>
  <si>
    <t>Sohier</t>
  </si>
  <si>
    <t>Soignies</t>
  </si>
  <si>
    <t>Soiron</t>
  </si>
  <si>
    <t>Solre-Saint-Gery</t>
  </si>
  <si>
    <t>Solre-sur-Sambre</t>
  </si>
  <si>
    <t>Sombreffe</t>
  </si>
  <si>
    <t>Somme-Leuze</t>
  </si>
  <si>
    <t>Sommethonne</t>
  </si>
  <si>
    <t>Sommiere</t>
  </si>
  <si>
    <t>Somzee</t>
  </si>
  <si>
    <t>Soree</t>
  </si>
  <si>
    <t>Sorinne-la-Longue</t>
  </si>
  <si>
    <t>Sorinnes</t>
  </si>
  <si>
    <t>Sosoye</t>
  </si>
  <si>
    <t>Sougne-Remouchamps</t>
  </si>
  <si>
    <t>Soulme</t>
  </si>
  <si>
    <t>Soumagne</t>
  </si>
  <si>
    <t>Soumoy</t>
  </si>
  <si>
    <t>Souvret</t>
  </si>
  <si>
    <t>Sovet</t>
  </si>
  <si>
    <t>Soy</t>
  </si>
  <si>
    <t>Soye</t>
  </si>
  <si>
    <t>Spa</t>
  </si>
  <si>
    <t>Spalbeek</t>
  </si>
  <si>
    <t>Spermalie</t>
  </si>
  <si>
    <t>Spiennes</t>
  </si>
  <si>
    <t>Spiere-Helkijn</t>
  </si>
  <si>
    <t>Spiere</t>
  </si>
  <si>
    <t>Spontin</t>
  </si>
  <si>
    <t>Spouwen</t>
  </si>
  <si>
    <t>Sprimont</t>
  </si>
  <si>
    <t>Spy</t>
  </si>
  <si>
    <t>Stabroek</t>
  </si>
  <si>
    <t>Staden</t>
  </si>
  <si>
    <t>Stalhille</t>
  </si>
  <si>
    <t>Stambruges</t>
  </si>
  <si>
    <t>Stave</t>
  </si>
  <si>
    <t>Stavele</t>
  </si>
  <si>
    <t>Stavelot</t>
  </si>
  <si>
    <t>Steendorp</t>
  </si>
  <si>
    <t>Steenhuffel</t>
  </si>
  <si>
    <t>Steenhuize-Wijnhuize</t>
  </si>
  <si>
    <t>Steenkerke</t>
  </si>
  <si>
    <t>Steenkerque</t>
  </si>
  <si>
    <t>Steenokkerzeel</t>
  </si>
  <si>
    <t>Stekene</t>
  </si>
  <si>
    <t>Stembert</t>
  </si>
  <si>
    <t>Stene</t>
  </si>
  <si>
    <t>Sterrebeek</t>
  </si>
  <si>
    <t>Stevoort</t>
  </si>
  <si>
    <t>Stokkem</t>
  </si>
  <si>
    <t>Stokrooie</t>
  </si>
  <si>
    <t>Stoumont</t>
  </si>
  <si>
    <t>Straimont</t>
  </si>
  <si>
    <t>Stree</t>
  </si>
  <si>
    <t>Strepy-Bracquegnies</t>
  </si>
  <si>
    <t>Strijpen</t>
  </si>
  <si>
    <t>Strijtem</t>
  </si>
  <si>
    <t>Strombeek-Bever</t>
  </si>
  <si>
    <t>Stuivekenskerke</t>
  </si>
  <si>
    <t>Suarlee</t>
  </si>
  <si>
    <t>Sugny</t>
  </si>
  <si>
    <t>Surice</t>
  </si>
  <si>
    <t>Suxy</t>
  </si>
  <si>
    <t>Tailles</t>
  </si>
  <si>
    <t>Taintignies</t>
  </si>
  <si>
    <t>Tamines</t>
  </si>
  <si>
    <t>Tarcienne</t>
  </si>
  <si>
    <t>Tavier</t>
  </si>
  <si>
    <t>Taviers</t>
  </si>
  <si>
    <t>Tavigny</t>
  </si>
  <si>
    <t>Tellin</t>
  </si>
  <si>
    <t>Templeuve</t>
  </si>
  <si>
    <t>Temploux</t>
  </si>
  <si>
    <t>Temse</t>
  </si>
  <si>
    <t>Tenneville</t>
  </si>
  <si>
    <t>Teralfene</t>
  </si>
  <si>
    <t>Terhagen</t>
  </si>
  <si>
    <t>Termes</t>
  </si>
  <si>
    <t>Ternat</t>
  </si>
  <si>
    <t>Tertre</t>
  </si>
  <si>
    <t>Tervuren</t>
  </si>
  <si>
    <t>Terwagne</t>
  </si>
  <si>
    <t>Tessenderlo</t>
  </si>
  <si>
    <t>Testelt</t>
  </si>
  <si>
    <t>Teuven</t>
  </si>
  <si>
    <t>Theux</t>
  </si>
  <si>
    <t>Thiaumont</t>
  </si>
  <si>
    <t>Thieu</t>
  </si>
  <si>
    <t>Thieulain</t>
  </si>
  <si>
    <t>Thieusies</t>
  </si>
  <si>
    <t>Thimeon</t>
  </si>
  <si>
    <t>Thimister-Clermont</t>
  </si>
  <si>
    <t>Thimister</t>
  </si>
  <si>
    <t>Thimougies</t>
  </si>
  <si>
    <t>Thines</t>
  </si>
  <si>
    <t>Thirimont</t>
  </si>
  <si>
    <t>Thisnes</t>
  </si>
  <si>
    <t>Thommen</t>
  </si>
  <si>
    <t>Thon</t>
  </si>
  <si>
    <t>Thorembais-Saint-Trond</t>
  </si>
  <si>
    <t>Thorembais-les-Beguines</t>
  </si>
  <si>
    <t>Thoricourt</t>
  </si>
  <si>
    <t>Thuillies</t>
  </si>
  <si>
    <t>Thuin</t>
  </si>
  <si>
    <t>Thulin</t>
  </si>
  <si>
    <t>Thumaide</t>
  </si>
  <si>
    <t>Thy-le-Bauduin</t>
  </si>
  <si>
    <t>Thy-le-Chateau</t>
  </si>
  <si>
    <t>Thynes</t>
  </si>
  <si>
    <t>Thys</t>
  </si>
  <si>
    <t>Tiegem</t>
  </si>
  <si>
    <t>Tielen</t>
  </si>
  <si>
    <t>Tielrode</t>
  </si>
  <si>
    <t>Tielt</t>
  </si>
  <si>
    <t>Tielt-Winge</t>
  </si>
  <si>
    <t>Tienen</t>
  </si>
  <si>
    <t>Tignee</t>
  </si>
  <si>
    <t>Tihange</t>
  </si>
  <si>
    <t>Tildonk</t>
  </si>
  <si>
    <t>Tilff</t>
  </si>
  <si>
    <t>Tillet</t>
  </si>
  <si>
    <t>Tilleur</t>
  </si>
  <si>
    <t>Tillier</t>
  </si>
  <si>
    <t>Tilly</t>
  </si>
  <si>
    <t>Tinlot</t>
  </si>
  <si>
    <t>Tintange</t>
  </si>
  <si>
    <t>Tintigny</t>
  </si>
  <si>
    <t>Tisselt</t>
  </si>
  <si>
    <t>Toernich</t>
  </si>
  <si>
    <t>Tohogne</t>
  </si>
  <si>
    <t>Tollembeek</t>
  </si>
  <si>
    <t>Tongeren</t>
  </si>
  <si>
    <t>Tongerlo</t>
  </si>
  <si>
    <t>Tongre-Notre-Dame</t>
  </si>
  <si>
    <t>Tongre-Saint-Martin</t>
  </si>
  <si>
    <t>Tongrinne</t>
  </si>
  <si>
    <t>Tontelange</t>
  </si>
  <si>
    <t>Torgny</t>
  </si>
  <si>
    <t>Torhout</t>
  </si>
  <si>
    <t>Tourinne</t>
  </si>
  <si>
    <t>Tourinnes-la-Grosse</t>
  </si>
  <si>
    <t>Tourinnes-Saint-Lambert</t>
  </si>
  <si>
    <t>Tournai</t>
  </si>
  <si>
    <t>Tournay</t>
  </si>
  <si>
    <t>Tourpes</t>
  </si>
  <si>
    <t>Transinne</t>
  </si>
  <si>
    <t>Trazegnies</t>
  </si>
  <si>
    <t>Treignes</t>
  </si>
  <si>
    <t>Trembleur</t>
  </si>
  <si>
    <t>Tremelo</t>
  </si>
  <si>
    <t>Trivieres</t>
  </si>
  <si>
    <t>Trognee</t>
  </si>
  <si>
    <t>Trois-Ponts</t>
  </si>
  <si>
    <t>Trooz</t>
  </si>
  <si>
    <t>Tubize</t>
  </si>
  <si>
    <t>Turnhout</t>
  </si>
  <si>
    <t>Uccle</t>
  </si>
  <si>
    <t>Ucimont</t>
  </si>
  <si>
    <t>Uikhoven</t>
  </si>
  <si>
    <t>Uitbergen</t>
  </si>
  <si>
    <t>Uitkerke</t>
  </si>
  <si>
    <t>Ukkel</t>
  </si>
  <si>
    <t>Ulbeek</t>
  </si>
  <si>
    <t>Upigny</t>
  </si>
  <si>
    <t>Ursel</t>
  </si>
  <si>
    <t>Vaalbeek</t>
  </si>
  <si>
    <t>Val-Meer</t>
  </si>
  <si>
    <t>Vance</t>
  </si>
  <si>
    <t>Varendonk</t>
  </si>
  <si>
    <t>Varsenare</t>
  </si>
  <si>
    <t>Vaucelles</t>
  </si>
  <si>
    <t>Vaulx</t>
  </si>
  <si>
    <t>Vaux-sous-Chevremont</t>
  </si>
  <si>
    <t>Vaux-Chavanne</t>
  </si>
  <si>
    <t>Vaux-sur-Sure</t>
  </si>
  <si>
    <t>Vaux-et-Borset</t>
  </si>
  <si>
    <t>Vaux-les-Rosieres</t>
  </si>
  <si>
    <t>Vechmaal</t>
  </si>
  <si>
    <t>Vedrin</t>
  </si>
  <si>
    <t>Veerle</t>
  </si>
  <si>
    <t>Velaine</t>
  </si>
  <si>
    <t>Velaines</t>
  </si>
  <si>
    <t>Veldegem</t>
  </si>
  <si>
    <t>Veldwezelt</t>
  </si>
  <si>
    <t>Vellereille-les-Brayeux</t>
  </si>
  <si>
    <t>Vellereille-le-Sec</t>
  </si>
  <si>
    <t>Velm</t>
  </si>
  <si>
    <t>Velroux</t>
  </si>
  <si>
    <t>Veltem-Beisem</t>
  </si>
  <si>
    <t>Velzeke-Ruddershove</t>
  </si>
  <si>
    <t>Vencimont</t>
  </si>
  <si>
    <t>Vergnies</t>
  </si>
  <si>
    <t>Verlaine</t>
  </si>
  <si>
    <t>Verlee</t>
  </si>
  <si>
    <t>Verrebroek</t>
  </si>
  <si>
    <t>Vertrijk</t>
  </si>
  <si>
    <t>Verviers</t>
  </si>
  <si>
    <t>Vesqueville</t>
  </si>
  <si>
    <t>Veulen</t>
  </si>
  <si>
    <t>Veurne</t>
  </si>
  <si>
    <t>Vezin</t>
  </si>
  <si>
    <t>Vezon</t>
  </si>
  <si>
    <t>Viane</t>
  </si>
  <si>
    <t>Vichte</t>
  </si>
  <si>
    <t>Vielsalm</t>
  </si>
  <si>
    <t>Viemme</t>
  </si>
  <si>
    <t>Viersel</t>
  </si>
  <si>
    <t>Vierset-Barse</t>
  </si>
  <si>
    <t>Vierves-sur-Viroin</t>
  </si>
  <si>
    <t>Viesville</t>
  </si>
  <si>
    <t>Vieux-Genappe</t>
  </si>
  <si>
    <t>Vieux-Waleffe</t>
  </si>
  <si>
    <t>Vieuxville</t>
  </si>
  <si>
    <t>Villance</t>
  </si>
  <si>
    <t>Ville-en-Hesbaye</t>
  </si>
  <si>
    <t>Ville-Pommeroeul</t>
  </si>
  <si>
    <t>Ville-Sur-Haine</t>
  </si>
  <si>
    <t>Villerot</t>
  </si>
  <si>
    <t>Villers-Sainte-Gertrude</t>
  </si>
  <si>
    <t>Villers-aux-Tours</t>
  </si>
  <si>
    <t>Villers-deux-Eglises</t>
  </si>
  <si>
    <t>Villers-la-Bonne-Eau</t>
  </si>
  <si>
    <t>Villers-Notre-Dame</t>
  </si>
  <si>
    <t>Villers-la-Tour</t>
  </si>
  <si>
    <t>Villers-Saint-Amand</t>
  </si>
  <si>
    <t>Villers-l'Eveque</t>
  </si>
  <si>
    <t>Villers-Saint-Simeon</t>
  </si>
  <si>
    <t>Villers-devant-Orval</t>
  </si>
  <si>
    <t>Villers-sur-Semois</t>
  </si>
  <si>
    <t>Villers-Poterie</t>
  </si>
  <si>
    <t>Villers-lez-Heest</t>
  </si>
  <si>
    <t>Villers-le-Peuplier</t>
  </si>
  <si>
    <t>Villers-en-Fagne</t>
  </si>
  <si>
    <t>Villers-Perwin</t>
  </si>
  <si>
    <t>Villers-la-Loue</t>
  </si>
  <si>
    <t>Villers-sur-Lesse</t>
  </si>
  <si>
    <t>Villers-le-Temple</t>
  </si>
  <si>
    <t>Villers-Saint-Ghislain</t>
  </si>
  <si>
    <t>Villers-le-Gambon</t>
  </si>
  <si>
    <t>Villers-le-Bouillet</t>
  </si>
  <si>
    <t>Villers-la-Ville</t>
  </si>
  <si>
    <t>Vilvoorde</t>
  </si>
  <si>
    <t>Vinalmont</t>
  </si>
  <si>
    <t>Vinderhoute</t>
  </si>
  <si>
    <t>Vinkem</t>
  </si>
  <si>
    <t>Vinkt</t>
  </si>
  <si>
    <t>Virelles</t>
  </si>
  <si>
    <t>Virginal-Samme</t>
  </si>
  <si>
    <t>Viroinval</t>
  </si>
  <si>
    <t>Virton</t>
  </si>
  <si>
    <t>Vise</t>
  </si>
  <si>
    <t>Vissenaken</t>
  </si>
  <si>
    <t>Vissoul</t>
  </si>
  <si>
    <t>Vitrival</t>
  </si>
  <si>
    <t>Vivegnis</t>
  </si>
  <si>
    <t>Vivy</t>
  </si>
  <si>
    <t>Vladslo</t>
  </si>
  <si>
    <t>Vlamertinge</t>
  </si>
  <si>
    <t>Vlekkem</t>
  </si>
  <si>
    <t>Vleteren</t>
  </si>
  <si>
    <t>Vlezenbeek</t>
  </si>
  <si>
    <t>Vliermaal</t>
  </si>
  <si>
    <t>Vliermaalroot</t>
  </si>
  <si>
    <t>Vlierzele</t>
  </si>
  <si>
    <t>Vlijtingen</t>
  </si>
  <si>
    <t>Vlimmeren</t>
  </si>
  <si>
    <t>Vlissegem</t>
  </si>
  <si>
    <t>Vodecee</t>
  </si>
  <si>
    <t>Vodelee</t>
  </si>
  <si>
    <t>Voeren</t>
  </si>
  <si>
    <t>Vogenee</t>
  </si>
  <si>
    <t>Volkegem</t>
  </si>
  <si>
    <t>Vollezele</t>
  </si>
  <si>
    <t>Voneche</t>
  </si>
  <si>
    <t>Voorde</t>
  </si>
  <si>
    <t>Voormezele</t>
  </si>
  <si>
    <t>Voort</t>
  </si>
  <si>
    <t>Voroux-lez-Liers</t>
  </si>
  <si>
    <t>Voroux-Goreux</t>
  </si>
  <si>
    <t>Vorselaar</t>
  </si>
  <si>
    <t>Vorsen</t>
  </si>
  <si>
    <t>Vorst</t>
  </si>
  <si>
    <t>Vosselaar</t>
  </si>
  <si>
    <t>Vosselare</t>
  </si>
  <si>
    <t>Vossem</t>
  </si>
  <si>
    <t>Vottem</t>
  </si>
  <si>
    <t>Vrasene</t>
  </si>
  <si>
    <t>Vremde</t>
  </si>
  <si>
    <t>Vreren</t>
  </si>
  <si>
    <t>Vresse</t>
  </si>
  <si>
    <t>Vresse-sur-Semois</t>
  </si>
  <si>
    <t>Vroenhoven</t>
  </si>
  <si>
    <t>Vucht</t>
  </si>
  <si>
    <t>Vurste</t>
  </si>
  <si>
    <t>Vyle-et-Tharoul</t>
  </si>
  <si>
    <t>Waanrode</t>
  </si>
  <si>
    <t>Waarbeke</t>
  </si>
  <si>
    <t>Waardamme</t>
  </si>
  <si>
    <t>Waarloos</t>
  </si>
  <si>
    <t>Waarmaarde</t>
  </si>
  <si>
    <t>Waarschoot</t>
  </si>
  <si>
    <t>Waasmont</t>
  </si>
  <si>
    <t>Waasmunster</t>
  </si>
  <si>
    <t>Wachtebeke</t>
  </si>
  <si>
    <t>Wadelincourt</t>
  </si>
  <si>
    <t>Wagnelee</t>
  </si>
  <si>
    <t>Waha</t>
  </si>
  <si>
    <t>Waillet</t>
  </si>
  <si>
    <t>Waimes</t>
  </si>
  <si>
    <t>Wakken</t>
  </si>
  <si>
    <t>Walcourt</t>
  </si>
  <si>
    <t>Walem</t>
  </si>
  <si>
    <t>Walhain-Saint-Paul</t>
  </si>
  <si>
    <t>Walhain</t>
  </si>
  <si>
    <t>Walhorn</t>
  </si>
  <si>
    <t>Walsbets</t>
  </si>
  <si>
    <t>Walshoutem</t>
  </si>
  <si>
    <t>Waltwilder</t>
  </si>
  <si>
    <t>Wambeek</t>
  </si>
  <si>
    <t>Wancennes</t>
  </si>
  <si>
    <t>Wandre</t>
  </si>
  <si>
    <t>Wanfercee-Baulet</t>
  </si>
  <si>
    <t>Wange</t>
  </si>
  <si>
    <t>Wangenies</t>
  </si>
  <si>
    <t>Wanlin</t>
  </si>
  <si>
    <t>Wanne</t>
  </si>
  <si>
    <t>Wannebecq</t>
  </si>
  <si>
    <t>Wannegem-Lede</t>
  </si>
  <si>
    <t>Wansin</t>
  </si>
  <si>
    <t>Wanze</t>
  </si>
  <si>
    <t>Wanzele</t>
  </si>
  <si>
    <t>Warchin</t>
  </si>
  <si>
    <t>Warcoing</t>
  </si>
  <si>
    <t>Wardin</t>
  </si>
  <si>
    <t>Waregem</t>
  </si>
  <si>
    <t>Waremme</t>
  </si>
  <si>
    <t>Waret-la-Chaussee</t>
  </si>
  <si>
    <t>Waret-l'Eveque</t>
  </si>
  <si>
    <t>Warisoulx</t>
  </si>
  <si>
    <t>Warnant</t>
  </si>
  <si>
    <t>Warnant-Dreye</t>
  </si>
  <si>
    <t>Warneton</t>
  </si>
  <si>
    <t>Warquignies</t>
  </si>
  <si>
    <t>Warsage</t>
  </si>
  <si>
    <t>Warzee</t>
  </si>
  <si>
    <t>Wasmes</t>
  </si>
  <si>
    <t>Wasmes-Audemez-Briffoeil</t>
  </si>
  <si>
    <t>Wasmuel</t>
  </si>
  <si>
    <t>Wasseiges</t>
  </si>
  <si>
    <t>Waterland-Oudeman</t>
  </si>
  <si>
    <t>Waterloo</t>
  </si>
  <si>
    <t>Watermaal-Bosvoorde</t>
  </si>
  <si>
    <t>Watermael-Boitsfort</t>
  </si>
  <si>
    <t>Watervliet</t>
  </si>
  <si>
    <t>Watou</t>
  </si>
  <si>
    <t>Wattripont</t>
  </si>
  <si>
    <t>Waudrez</t>
  </si>
  <si>
    <t>Waulsort</t>
  </si>
  <si>
    <t>Wauthier-Braine</t>
  </si>
  <si>
    <t>Wavre</t>
  </si>
  <si>
    <t>Wavreille</t>
  </si>
  <si>
    <t>Wayaux</t>
  </si>
  <si>
    <t>Ways</t>
  </si>
  <si>
    <t>Webbekom</t>
  </si>
  <si>
    <t>Wechelderzande</t>
  </si>
  <si>
    <t>Weelde</t>
  </si>
  <si>
    <t>Weerde</t>
  </si>
  <si>
    <t>Weert</t>
  </si>
  <si>
    <t>Wegnez</t>
  </si>
  <si>
    <t>Weillen</t>
  </si>
  <si>
    <t>Welden</t>
  </si>
  <si>
    <t>Welkenraedt</t>
  </si>
  <si>
    <t>Welle</t>
  </si>
  <si>
    <t>Wellen</t>
  </si>
  <si>
    <t>Wellin</t>
  </si>
  <si>
    <t>Wemmel</t>
  </si>
  <si>
    <t>Wenduine</t>
  </si>
  <si>
    <t>Wepion</t>
  </si>
  <si>
    <t>Werbomont</t>
  </si>
  <si>
    <t>Werchter</t>
  </si>
  <si>
    <t>Weris</t>
  </si>
  <si>
    <t>Werken</t>
  </si>
  <si>
    <t>Werm</t>
  </si>
  <si>
    <t>Wervik</t>
  </si>
  <si>
    <t>Wespelaar</t>
  </si>
  <si>
    <t>Westende</t>
  </si>
  <si>
    <t>Westerlo</t>
  </si>
  <si>
    <t>Westkapelle</t>
  </si>
  <si>
    <t>Westkerke</t>
  </si>
  <si>
    <t>Westmalle</t>
  </si>
  <si>
    <t>Westmeerbeek</t>
  </si>
  <si>
    <t>Westouter</t>
  </si>
  <si>
    <t>Westrem</t>
  </si>
  <si>
    <t>Westrozebeke</t>
  </si>
  <si>
    <t>Westvleteren</t>
  </si>
  <si>
    <t>Wetteren</t>
  </si>
  <si>
    <t>Wevelgem</t>
  </si>
  <si>
    <t>Wez-Velvain</t>
  </si>
  <si>
    <t>Wezemaal</t>
  </si>
  <si>
    <t>Wezembeek-Oppem</t>
  </si>
  <si>
    <t>Wezeren</t>
  </si>
  <si>
    <t>Wibrin</t>
  </si>
  <si>
    <t>Wichelen</t>
  </si>
  <si>
    <t>Widooie</t>
  </si>
  <si>
    <t>Wiekevorst</t>
  </si>
  <si>
    <t>Wielsbeke</t>
  </si>
  <si>
    <t>Wierde</t>
  </si>
  <si>
    <t>Wiers</t>
  </si>
  <si>
    <t>Wiesme</t>
  </si>
  <si>
    <t>Wieze</t>
  </si>
  <si>
    <t>Wiheries</t>
  </si>
  <si>
    <t>Wihogne</t>
  </si>
  <si>
    <t>Wijchmaal</t>
  </si>
  <si>
    <t>Wijer</t>
  </si>
  <si>
    <t>Wijnegem</t>
  </si>
  <si>
    <t>Wijshagen</t>
  </si>
  <si>
    <t>Wijtschate</t>
  </si>
  <si>
    <t>Wilderen</t>
  </si>
  <si>
    <t>Willaupuis</t>
  </si>
  <si>
    <t>Willebringen</t>
  </si>
  <si>
    <t>Willebroek</t>
  </si>
  <si>
    <t>Willemeau</t>
  </si>
  <si>
    <t>Willerzie</t>
  </si>
  <si>
    <t>Wilrijk</t>
  </si>
  <si>
    <t>Wilsele</t>
  </si>
  <si>
    <t>Wilskerke</t>
  </si>
  <si>
    <t>Wimmertingen</t>
  </si>
  <si>
    <t>Winenne</t>
  </si>
  <si>
    <t>Wingene</t>
  </si>
  <si>
    <t>Winksele</t>
  </si>
  <si>
    <t>Wintershoven</t>
  </si>
  <si>
    <t>Witry</t>
  </si>
  <si>
    <t>Wodecq</t>
  </si>
  <si>
    <t>Woesten</t>
  </si>
  <si>
    <t>Wolkrange</t>
  </si>
  <si>
    <t>Woluwe-Saint-Lambert</t>
  </si>
  <si>
    <t>Woluwe-Saint-Pierre</t>
  </si>
  <si>
    <t>Wolvertem</t>
  </si>
  <si>
    <t>Wommelgem</t>
  </si>
  <si>
    <t>Wommersom</t>
  </si>
  <si>
    <t>Wonck</t>
  </si>
  <si>
    <t>Wondelgem</t>
  </si>
  <si>
    <t>Wontergem</t>
  </si>
  <si>
    <t>Wortegem-Petegem</t>
  </si>
  <si>
    <t>Wortegem</t>
  </si>
  <si>
    <t>Wortel</t>
  </si>
  <si>
    <t>Woubrechtegem</t>
  </si>
  <si>
    <t>Woumen</t>
  </si>
  <si>
    <t>Wulpen</t>
  </si>
  <si>
    <t>Wulvergem</t>
  </si>
  <si>
    <t>Wulveringem</t>
  </si>
  <si>
    <t>Wuustwezel</t>
  </si>
  <si>
    <t>Xhendelesse</t>
  </si>
  <si>
    <t>Xhendremael</t>
  </si>
  <si>
    <t>Xhoris</t>
  </si>
  <si>
    <t>Yernee-Fraineux</t>
  </si>
  <si>
    <t>Yves-Gomezee</t>
  </si>
  <si>
    <t>Yvoir</t>
  </si>
  <si>
    <t>Zaffelare</t>
  </si>
  <si>
    <t>Zandbergen</t>
  </si>
  <si>
    <t>Zande</t>
  </si>
  <si>
    <t>Zandhoven</t>
  </si>
  <si>
    <t>Zandvliet</t>
  </si>
  <si>
    <t>Zandvoorde</t>
  </si>
  <si>
    <t>Zarlardinge</t>
  </si>
  <si>
    <t>Zarren-Werken</t>
  </si>
  <si>
    <t>Zarren</t>
  </si>
  <si>
    <t>Zaventem</t>
  </si>
  <si>
    <t>Zedelgem</t>
  </si>
  <si>
    <t>Zegelsem</t>
  </si>
  <si>
    <t>Zele</t>
  </si>
  <si>
    <t>Zelem</t>
  </si>
  <si>
    <t>Zellik</t>
  </si>
  <si>
    <t>Zelzate</t>
  </si>
  <si>
    <t>Zemst</t>
  </si>
  <si>
    <t>Zepperen</t>
  </si>
  <si>
    <t>Zerkegem</t>
  </si>
  <si>
    <t>Zetrud-Lumay</t>
  </si>
  <si>
    <t>Zevekote</t>
  </si>
  <si>
    <t>Zeveneken</t>
  </si>
  <si>
    <t>Zeveren</t>
  </si>
  <si>
    <t>Zevergem</t>
  </si>
  <si>
    <t>Zichem</t>
  </si>
  <si>
    <t>Zichen-Zussen-Bolder</t>
  </si>
  <si>
    <t>Zillebeke</t>
  </si>
  <si>
    <t>Zingem</t>
  </si>
  <si>
    <t>Zoerle-Parwijs</t>
  </si>
  <si>
    <t>Zoersel</t>
  </si>
  <si>
    <t>Zolder</t>
  </si>
  <si>
    <t>Zomergem</t>
  </si>
  <si>
    <t>Zonhoven</t>
  </si>
  <si>
    <t>Zonnebeke</t>
  </si>
  <si>
    <t>Zonnegem</t>
  </si>
  <si>
    <t>Zottegem</t>
  </si>
  <si>
    <t>Zoutenaaie</t>
  </si>
  <si>
    <t>Zoutleeuw</t>
  </si>
  <si>
    <t>Zuidschote</t>
  </si>
  <si>
    <t>Zuienkerke</t>
  </si>
  <si>
    <t>Zulte</t>
  </si>
  <si>
    <t>Zulzeke</t>
  </si>
  <si>
    <t>Zutendaal</t>
  </si>
  <si>
    <t>Zwalm</t>
  </si>
  <si>
    <t>Zwevegem</t>
  </si>
  <si>
    <t>Zwevezele</t>
  </si>
  <si>
    <t>Zwijnaarde</t>
  </si>
  <si>
    <t>Zwijndrecht</t>
  </si>
  <si>
    <t>s Gravenvoeren</t>
  </si>
  <si>
    <t>s Gravenwezel</t>
  </si>
  <si>
    <t>s Herenelderen</t>
  </si>
  <si>
    <t>_x001A_</t>
  </si>
  <si>
    <t>v18,1</t>
  </si>
  <si>
    <t>corrigé facteur aj sol sur terre-plein dans onglet "Situation rénovée"</t>
  </si>
  <si>
    <t>v19</t>
  </si>
  <si>
    <t>Développé et intégré méthode mensuelle dans la situation rénovée</t>
  </si>
  <si>
    <t>intégration double calcul pour la ventilation (comparaison existant/neuf avec débit normatif identique)</t>
  </si>
  <si>
    <t>correction bug affichage graphique comparatif 2 situations (inversion étanchéité à l'air et nœuds constructifs)</t>
  </si>
  <si>
    <t>v20</t>
  </si>
  <si>
    <t>Ajout gains spécifiques liés à l'étanchéité à l'air et ajout de l'étanchéité à l'air dans la synthèse des améliorations</t>
  </si>
  <si>
    <t>Ajout commentaire dans onglet "Parois types" pour les dalles de sol</t>
  </si>
  <si>
    <t>Remise en cohérence 2 graphiques en situation rénovée (bilan et pertes)</t>
  </si>
  <si>
    <t>Remise en place menu déroulant pour orientation fenêtres en situation initiale</t>
  </si>
  <si>
    <t>Adaptation types de gaz (gaz riche aussi pour Bxl)</t>
  </si>
  <si>
    <t>Ajout commentaires sur les noeuds constructifs</t>
  </si>
  <si>
    <t>Masquage des cellules nulles dans l'onglet "situation rénovée"</t>
  </si>
  <si>
    <t>Dans l'encodage de l'enveloppe de l'onglet "situation rénovée", remise en place des renvois vers l'onglet "situation initiale"</t>
  </si>
  <si>
    <t>v21</t>
  </si>
  <si>
    <t>Ajout du comparatif surface/déperdition par l'enveloppe</t>
  </si>
  <si>
    <t>Correction légende graphique situation rénovée (Pertes / Gains)</t>
  </si>
  <si>
    <t>Adaptation des données émissions CO2 combustibles, suppression combustible "biomasse" et ajout "pellet, bois bûche, bois plaquette et propane"</t>
  </si>
  <si>
    <t>v22</t>
  </si>
  <si>
    <t>Correction formule Gain kWh énergie finale pour installation de chauffage</t>
  </si>
  <si>
    <t>adaptation des PCI du gaz naturel et propane sur base AWAC2020</t>
  </si>
  <si>
    <t>v23</t>
  </si>
  <si>
    <t>correction tableau de conversion pour le gaz (onglet données, col K) : encodage conso en kWh PCS était considéré comme un encodage en m³</t>
  </si>
  <si>
    <t>v24</t>
  </si>
  <si>
    <t>correction fCO2 pour bois-bûche, plaquettes et pellet</t>
  </si>
  <si>
    <t>ajout de l'adresse du bâtiment</t>
  </si>
  <si>
    <t>Coordonnées du bâtiment</t>
  </si>
  <si>
    <t>0°</t>
  </si>
  <si>
    <t>Rue et numéro</t>
  </si>
  <si>
    <t>Code postal</t>
  </si>
  <si>
    <t>Rue de l'exercice 21</t>
  </si>
  <si>
    <t>Localité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</si>
</sst>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F_-;\-* #,##0.00\ _F_-;_-* &quot;-&quot;??\ _F_-;_-@_-"/>
    <numFmt numFmtId="165" formatCode="0.0"/>
    <numFmt numFmtId="166" formatCode="0.000"/>
    <numFmt numFmtId="167" formatCode="_-* #,##0\ _F_-;\-* #,##0\ _F_-;_-* &quot;-&quot;??\ _F_-;_-@_-"/>
    <numFmt numFmtId="168" formatCode="_-* #,##0.000\ _F_-;\-* #,##0.000\ _F_-;_-* &quot;-&quot;??\ _F_-;_-@_-"/>
    <numFmt numFmtId="169" formatCode="0.0000"/>
    <numFmt numFmtId="170" formatCode="0.0%"/>
    <numFmt numFmtId="171" formatCode="0.00;\-0.00;&quot;-&quot;"/>
    <numFmt numFmtId="172" formatCode="0%;\-0%;&quot;-&quot;"/>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4"/>
      <name val="Arial"/>
      <family val="2"/>
    </font>
    <font>
      <b/>
      <i/>
      <sz val="10"/>
      <color indexed="12"/>
      <name val="Times New Roman"/>
      <family val="1"/>
    </font>
    <font>
      <b/>
      <i/>
      <sz val="10"/>
      <color indexed="10"/>
      <name val="Times New Roman"/>
      <family val="1"/>
    </font>
    <font>
      <b/>
      <sz val="10"/>
      <color indexed="10"/>
      <name val="Arial"/>
      <family val="2"/>
    </font>
    <font>
      <b/>
      <sz val="8"/>
      <name val="Arial"/>
      <family val="2"/>
    </font>
    <font>
      <b/>
      <sz val="10"/>
      <name val="Arial"/>
      <family val="2"/>
    </font>
    <font>
      <sz val="8"/>
      <name val="Arial"/>
      <family val="2"/>
    </font>
    <font>
      <b/>
      <i/>
      <sz val="8"/>
      <color indexed="10"/>
      <name val="Times New Roman"/>
      <family val="1"/>
    </font>
    <font>
      <b/>
      <sz val="8"/>
      <color indexed="10"/>
      <name val="Arial"/>
      <family val="2"/>
    </font>
    <font>
      <sz val="8"/>
      <name val="Arial"/>
      <family val="2"/>
    </font>
    <font>
      <b/>
      <sz val="8"/>
      <color indexed="12"/>
      <name val="Arial"/>
      <family val="2"/>
    </font>
    <font>
      <sz val="10"/>
      <name val="Arial"/>
      <family val="2"/>
    </font>
    <font>
      <b/>
      <sz val="8"/>
      <name val="Symbol"/>
      <family val="1"/>
      <charset val="2"/>
    </font>
    <font>
      <b/>
      <vertAlign val="subscript"/>
      <sz val="8"/>
      <name val="Arial"/>
      <family val="2"/>
    </font>
    <font>
      <b/>
      <sz val="12"/>
      <name val="Arial"/>
      <family val="2"/>
    </font>
    <font>
      <sz val="10"/>
      <color indexed="10"/>
      <name val="Arial"/>
      <family val="2"/>
    </font>
    <font>
      <sz val="8"/>
      <color indexed="12"/>
      <name val="Arial"/>
      <family val="2"/>
    </font>
    <font>
      <i/>
      <sz val="10"/>
      <name val="Arial"/>
      <family val="2"/>
    </font>
    <font>
      <b/>
      <sz val="8"/>
      <name val="Arial Narrow"/>
      <family val="2"/>
    </font>
    <font>
      <sz val="10"/>
      <color rgb="FFFF0000"/>
      <name val="Arial"/>
      <family val="2"/>
    </font>
    <font>
      <sz val="9"/>
      <color indexed="81"/>
      <name val="Tahoma"/>
      <family val="2"/>
    </font>
    <font>
      <b/>
      <sz val="9"/>
      <color indexed="81"/>
      <name val="Tahoma"/>
      <family val="2"/>
    </font>
    <font>
      <b/>
      <sz val="8"/>
      <color indexed="81"/>
      <name val="Tahoma"/>
      <family val="2"/>
    </font>
    <font>
      <sz val="11"/>
      <color rgb="FF9C0006"/>
      <name val="Calibri"/>
      <family val="2"/>
      <scheme val="minor"/>
    </font>
    <font>
      <b/>
      <sz val="11"/>
      <color rgb="FF9C0006"/>
      <name val="Calibri"/>
      <family val="2"/>
      <scheme val="minor"/>
    </font>
    <font>
      <sz val="10"/>
      <name val="Symbol"/>
      <family val="1"/>
      <charset val="2"/>
    </font>
    <font>
      <b/>
      <sz val="16"/>
      <name val="Arial"/>
      <family val="2"/>
    </font>
    <font>
      <u/>
      <sz val="10"/>
      <color theme="10"/>
      <name val="Arial"/>
      <family val="2"/>
    </font>
    <font>
      <sz val="12"/>
      <color rgb="FFFF0000"/>
      <name val="Arial"/>
      <family val="2"/>
    </font>
    <font>
      <u/>
      <sz val="11"/>
      <color theme="10"/>
      <name val="Calibri"/>
      <family val="2"/>
      <scheme val="minor"/>
    </font>
    <font>
      <sz val="18"/>
      <name val="Arial"/>
      <family val="2"/>
    </font>
    <font>
      <u/>
      <sz val="10"/>
      <name val="Arial"/>
      <family val="2"/>
    </font>
    <font>
      <b/>
      <u/>
      <sz val="10"/>
      <name val="Arial"/>
      <family val="2"/>
    </font>
    <font>
      <sz val="14"/>
      <color rgb="FFFF0000"/>
      <name val="Arial"/>
      <family val="2"/>
    </font>
    <font>
      <u/>
      <sz val="11"/>
      <color theme="10"/>
      <name val="Arial"/>
      <family val="2"/>
    </font>
    <font>
      <b/>
      <sz val="12"/>
      <color indexed="10"/>
      <name val="Arial"/>
      <family val="2"/>
    </font>
    <font>
      <sz val="11"/>
      <color theme="1"/>
      <name val="Arial"/>
      <family val="2"/>
    </font>
    <font>
      <b/>
      <sz val="12"/>
      <color indexed="12"/>
      <name val="Arial"/>
      <family val="2"/>
    </font>
    <font>
      <b/>
      <sz val="11"/>
      <color theme="1"/>
      <name val="Arial"/>
      <family val="2"/>
    </font>
    <font>
      <sz val="11"/>
      <color indexed="8"/>
      <name val="Arial"/>
      <family val="2"/>
    </font>
    <font>
      <sz val="12"/>
      <color theme="1"/>
      <name val="Arial"/>
      <family val="2"/>
    </font>
    <font>
      <b/>
      <sz val="14"/>
      <color theme="1"/>
      <name val="Arial"/>
      <family val="2"/>
    </font>
    <font>
      <b/>
      <sz val="16"/>
      <color theme="1"/>
      <name val="Calibri"/>
      <family val="2"/>
      <scheme val="minor"/>
    </font>
    <font>
      <b/>
      <sz val="16"/>
      <color theme="1"/>
      <name val="Arial"/>
      <family val="2"/>
    </font>
    <font>
      <sz val="11"/>
      <color theme="1"/>
      <name val="Calibri"/>
      <family val="2"/>
    </font>
    <font>
      <i/>
      <u/>
      <sz val="10"/>
      <color theme="10"/>
      <name val="Arial"/>
      <family val="2"/>
    </font>
    <font>
      <b/>
      <sz val="11"/>
      <color rgb="FFFF0000"/>
      <name val="Arial"/>
      <family val="2"/>
    </font>
    <font>
      <b/>
      <sz val="9"/>
      <color rgb="FFFF0000"/>
      <name val="Arial"/>
      <family val="2"/>
    </font>
    <font>
      <sz val="11"/>
      <color rgb="FFFF0000"/>
      <name val="Arial"/>
      <family val="2"/>
    </font>
    <font>
      <b/>
      <i/>
      <sz val="10"/>
      <name val="Arial"/>
      <family val="2"/>
    </font>
    <font>
      <sz val="10"/>
      <color rgb="FFE26B0A"/>
      <name val="Arial"/>
      <family val="2"/>
    </font>
  </fonts>
  <fills count="13">
    <fill>
      <patternFill patternType="none"/>
    </fill>
    <fill>
      <patternFill patternType="gray125"/>
    </fill>
    <fill>
      <patternFill patternType="solid">
        <fgColor indexed="43"/>
        <bgColor indexed="64"/>
      </patternFill>
    </fill>
    <fill>
      <patternFill patternType="solid">
        <fgColor indexed="44"/>
        <bgColor indexed="64"/>
      </patternFill>
    </fill>
    <fill>
      <patternFill patternType="solid">
        <fgColor rgb="FFFFFF00"/>
        <bgColor indexed="64"/>
      </patternFill>
    </fill>
    <fill>
      <patternFill patternType="solid">
        <fgColor rgb="FFFFFF99"/>
        <bgColor indexed="64"/>
      </patternFill>
    </fill>
    <fill>
      <patternFill patternType="solid">
        <fgColor rgb="FFFFCC99"/>
        <bgColor indexed="64"/>
      </patternFill>
    </fill>
    <fill>
      <patternFill patternType="solid">
        <fgColor rgb="FFFFC7CE"/>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24"/>
      </patternFill>
    </fill>
  </fills>
  <borders count="25">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13">
    <xf numFmtId="0" fontId="0" fillId="0" borderId="0"/>
    <xf numFmtId="164" fontId="4" fillId="0" borderId="0" applyFont="0" applyFill="0" applyBorder="0" applyAlignment="0" applyProtection="0"/>
    <xf numFmtId="9" fontId="4" fillId="0" borderId="0" applyFont="0" applyFill="0" applyBorder="0" applyAlignment="0" applyProtection="0"/>
    <xf numFmtId="0" fontId="16" fillId="0" borderId="0"/>
    <xf numFmtId="0" fontId="28" fillId="7" borderId="0" applyNumberFormat="0" applyBorder="0" applyAlignment="0" applyProtection="0"/>
    <xf numFmtId="0" fontId="32" fillId="0" borderId="0" applyNumberFormat="0" applyFill="0" applyBorder="0" applyAlignment="0" applyProtection="0"/>
    <xf numFmtId="0" fontId="3" fillId="0" borderId="0"/>
    <xf numFmtId="0" fontId="34" fillId="0" borderId="0" applyNumberFormat="0" applyFill="0" applyBorder="0" applyAlignment="0" applyProtection="0"/>
    <xf numFmtId="0" fontId="2" fillId="0" borderId="0"/>
    <xf numFmtId="0" fontId="4" fillId="0" borderId="0"/>
    <xf numFmtId="0" fontId="4" fillId="0" borderId="0"/>
    <xf numFmtId="0" fontId="1" fillId="0" borderId="0"/>
    <xf numFmtId="0" fontId="1" fillId="0" borderId="0"/>
  </cellStyleXfs>
  <cellXfs count="264">
    <xf numFmtId="0" fontId="0" fillId="0" borderId="0" xfId="0"/>
    <xf numFmtId="0" fontId="0" fillId="2" borderId="1" xfId="0" applyFill="1" applyBorder="1"/>
    <xf numFmtId="0" fontId="0" fillId="2" borderId="1" xfId="0" applyFill="1" applyBorder="1" applyAlignment="1">
      <alignment horizontal="center"/>
    </xf>
    <xf numFmtId="0" fontId="0" fillId="2" borderId="2" xfId="0" applyFill="1" applyBorder="1"/>
    <xf numFmtId="0" fontId="0" fillId="3" borderId="3" xfId="0" applyFill="1" applyBorder="1"/>
    <xf numFmtId="0" fontId="0" fillId="3" borderId="3" xfId="0" applyFill="1" applyBorder="1" applyAlignment="1">
      <alignment horizontal="center"/>
    </xf>
    <xf numFmtId="0" fontId="0" fillId="3" borderId="4" xfId="0" applyFill="1" applyBorder="1"/>
    <xf numFmtId="0" fontId="12" fillId="0" borderId="0" xfId="0" quotePrefix="1" applyFont="1"/>
    <xf numFmtId="0" fontId="13" fillId="0" borderId="0" xfId="0" applyFont="1"/>
    <xf numFmtId="0" fontId="0" fillId="0" borderId="0" xfId="0" applyAlignment="1">
      <alignment horizontal="center"/>
    </xf>
    <xf numFmtId="0" fontId="4" fillId="0" borderId="0" xfId="0" applyFont="1"/>
    <xf numFmtId="0" fontId="16" fillId="0" borderId="0" xfId="0" applyFont="1"/>
    <xf numFmtId="0" fontId="0" fillId="0" borderId="0" xfId="0" applyAlignment="1">
      <alignment vertical="justify" wrapText="1"/>
    </xf>
    <xf numFmtId="0" fontId="17" fillId="0" borderId="5" xfId="0" applyFont="1" applyBorder="1" applyAlignment="1">
      <alignment horizontal="center" vertical="justify" wrapText="1"/>
    </xf>
    <xf numFmtId="0" fontId="9" fillId="0" borderId="5" xfId="0" applyFont="1" applyBorder="1" applyAlignment="1">
      <alignment horizontal="left" vertical="center" indent="1"/>
    </xf>
    <xf numFmtId="0" fontId="17" fillId="0" borderId="5" xfId="0" applyFont="1" applyBorder="1" applyAlignment="1">
      <alignment vertical="center"/>
    </xf>
    <xf numFmtId="0" fontId="15" fillId="3" borderId="5" xfId="0" applyFont="1" applyFill="1" applyBorder="1" applyAlignment="1">
      <alignment horizontal="center"/>
    </xf>
    <xf numFmtId="2" fontId="15" fillId="3" borderId="5" xfId="0" applyNumberFormat="1" applyFont="1" applyFill="1" applyBorder="1" applyAlignment="1">
      <alignment horizontal="center"/>
    </xf>
    <xf numFmtId="165" fontId="13" fillId="2" borderId="5" xfId="0" applyNumberFormat="1" applyFont="1" applyFill="1" applyBorder="1" applyAlignment="1">
      <alignment horizontal="center" vertical="center"/>
    </xf>
    <xf numFmtId="0" fontId="5" fillId="0" borderId="0" xfId="0" applyFont="1" applyAlignment="1">
      <alignment horizontal="center" vertical="center"/>
    </xf>
    <xf numFmtId="0" fontId="6" fillId="3" borderId="6" xfId="0" quotePrefix="1" applyFont="1" applyFill="1" applyBorder="1" applyAlignment="1">
      <alignment horizontal="center"/>
    </xf>
    <xf numFmtId="0" fontId="7" fillId="2" borderId="7" xfId="0" quotePrefix="1" applyFont="1" applyFill="1" applyBorder="1" applyAlignment="1">
      <alignment horizontal="center"/>
    </xf>
    <xf numFmtId="0" fontId="20" fillId="2" borderId="7" xfId="0" applyFont="1" applyFill="1" applyBorder="1"/>
    <xf numFmtId="0" fontId="0" fillId="3" borderId="5" xfId="0" applyFill="1" applyBorder="1"/>
    <xf numFmtId="0" fontId="19" fillId="0" borderId="0" xfId="0" applyFont="1"/>
    <xf numFmtId="0" fontId="21" fillId="0" borderId="0" xfId="0" applyFont="1"/>
    <xf numFmtId="0" fontId="9" fillId="0" borderId="0" xfId="0" applyFont="1"/>
    <xf numFmtId="0" fontId="10" fillId="0" borderId="0" xfId="0" applyFont="1"/>
    <xf numFmtId="0" fontId="20" fillId="0" borderId="0" xfId="0" applyFont="1"/>
    <xf numFmtId="0" fontId="7" fillId="0" borderId="0" xfId="0" quotePrefix="1" applyFont="1" applyAlignment="1">
      <alignment horizontal="center"/>
    </xf>
    <xf numFmtId="0" fontId="10" fillId="0" borderId="0" xfId="0" applyFont="1" applyAlignment="1">
      <alignment horizontal="center"/>
    </xf>
    <xf numFmtId="0" fontId="22" fillId="0" borderId="0" xfId="0" applyFont="1"/>
    <xf numFmtId="0" fontId="11" fillId="0" borderId="0" xfId="0" applyFont="1"/>
    <xf numFmtId="0" fontId="0" fillId="0" borderId="0" xfId="0" quotePrefix="1"/>
    <xf numFmtId="0" fontId="15" fillId="0" borderId="0" xfId="0" applyFont="1" applyAlignment="1">
      <alignment horizontal="center"/>
    </xf>
    <xf numFmtId="0" fontId="9" fillId="0" borderId="5" xfId="0" applyFont="1" applyBorder="1" applyAlignment="1">
      <alignment horizontal="center" vertical="justify" wrapText="1"/>
    </xf>
    <xf numFmtId="0" fontId="0" fillId="0" borderId="8" xfId="0" applyBorder="1"/>
    <xf numFmtId="0" fontId="24" fillId="0" borderId="0" xfId="0" applyFont="1"/>
    <xf numFmtId="0" fontId="5" fillId="0" borderId="0" xfId="0" applyFont="1"/>
    <xf numFmtId="0" fontId="11" fillId="0" borderId="0" xfId="0" applyFont="1" applyAlignment="1">
      <alignment horizontal="left"/>
    </xf>
    <xf numFmtId="0" fontId="11" fillId="0" borderId="0" xfId="0" quotePrefix="1" applyFont="1" applyAlignment="1">
      <alignment horizontal="left"/>
    </xf>
    <xf numFmtId="0" fontId="9" fillId="4" borderId="0" xfId="0" applyFont="1" applyFill="1"/>
    <xf numFmtId="0" fontId="11" fillId="0" borderId="5" xfId="0" applyFont="1" applyBorder="1"/>
    <xf numFmtId="0" fontId="11" fillId="0" borderId="5" xfId="0" applyFont="1" applyBorder="1" applyAlignment="1">
      <alignment horizontal="center"/>
    </xf>
    <xf numFmtId="1" fontId="0" fillId="0" borderId="0" xfId="0" applyNumberFormat="1"/>
    <xf numFmtId="0" fontId="8" fillId="2" borderId="5" xfId="0" applyFont="1" applyFill="1" applyBorder="1" applyAlignment="1">
      <alignment horizontal="center"/>
    </xf>
    <xf numFmtId="0" fontId="11" fillId="0" borderId="5" xfId="0" applyFont="1" applyBorder="1" applyAlignment="1">
      <alignment horizontal="center" wrapText="1"/>
    </xf>
    <xf numFmtId="0" fontId="11" fillId="0" borderId="10" xfId="0" applyFont="1" applyBorder="1" applyAlignment="1">
      <alignment vertical="center" wrapText="1"/>
    </xf>
    <xf numFmtId="0" fontId="11" fillId="0" borderId="10" xfId="0" applyFont="1" applyBorder="1" applyAlignment="1">
      <alignment wrapText="1"/>
    </xf>
    <xf numFmtId="0" fontId="9" fillId="0" borderId="10" xfId="0" applyFont="1" applyBorder="1" applyAlignment="1">
      <alignment vertical="center"/>
    </xf>
    <xf numFmtId="0" fontId="16" fillId="0" borderId="0" xfId="3" applyAlignment="1">
      <alignment vertical="center"/>
    </xf>
    <xf numFmtId="1" fontId="13" fillId="2" borderId="5" xfId="0" applyNumberFormat="1" applyFont="1" applyFill="1" applyBorder="1" applyAlignment="1">
      <alignment horizontal="center"/>
    </xf>
    <xf numFmtId="2" fontId="13" fillId="2" borderId="5" xfId="0" applyNumberFormat="1" applyFont="1" applyFill="1" applyBorder="1" applyAlignment="1">
      <alignment horizontal="center"/>
    </xf>
    <xf numFmtId="2" fontId="11" fillId="0" borderId="0" xfId="0" applyNumberFormat="1" applyFont="1" applyAlignment="1">
      <alignment horizontal="left"/>
    </xf>
    <xf numFmtId="9" fontId="15" fillId="3" borderId="5" xfId="2" applyFont="1" applyFill="1" applyBorder="1" applyAlignment="1">
      <alignment horizontal="center"/>
    </xf>
    <xf numFmtId="166" fontId="13" fillId="2" borderId="5" xfId="0" applyNumberFormat="1" applyFont="1" applyFill="1" applyBorder="1" applyAlignment="1">
      <alignment horizontal="center"/>
    </xf>
    <xf numFmtId="167" fontId="0" fillId="0" borderId="0" xfId="1" applyNumberFormat="1" applyFont="1"/>
    <xf numFmtId="0" fontId="11" fillId="0" borderId="5" xfId="0" applyFont="1" applyBorder="1" applyAlignment="1">
      <alignment vertical="center" wrapText="1"/>
    </xf>
    <xf numFmtId="0" fontId="4" fillId="0" borderId="0" xfId="0" applyFont="1" applyAlignment="1">
      <alignment vertical="justify" wrapText="1"/>
    </xf>
    <xf numFmtId="0" fontId="10" fillId="5" borderId="0" xfId="0" applyFont="1" applyFill="1"/>
    <xf numFmtId="0" fontId="0" fillId="5" borderId="0" xfId="0" applyFill="1"/>
    <xf numFmtId="0" fontId="0" fillId="5" borderId="5" xfId="0" applyFill="1" applyBorder="1" applyAlignment="1">
      <alignment horizontal="center"/>
    </xf>
    <xf numFmtId="2" fontId="0" fillId="5" borderId="5" xfId="0" applyNumberFormat="1" applyFill="1" applyBorder="1" applyAlignment="1">
      <alignment horizontal="center"/>
    </xf>
    <xf numFmtId="166" fontId="0" fillId="5" borderId="5" xfId="0" applyNumberFormat="1" applyFill="1" applyBorder="1" applyAlignment="1">
      <alignment horizontal="center"/>
    </xf>
    <xf numFmtId="2" fontId="0" fillId="5" borderId="10" xfId="0" applyNumberFormat="1" applyFill="1" applyBorder="1" applyAlignment="1">
      <alignment horizontal="center"/>
    </xf>
    <xf numFmtId="166" fontId="0" fillId="5" borderId="10" xfId="0" applyNumberFormat="1" applyFill="1" applyBorder="1" applyAlignment="1">
      <alignment horizontal="center"/>
    </xf>
    <xf numFmtId="0" fontId="0" fillId="5" borderId="10" xfId="0" applyFill="1" applyBorder="1" applyAlignment="1">
      <alignment horizontal="center"/>
    </xf>
    <xf numFmtId="0" fontId="0" fillId="5" borderId="13" xfId="0" applyFill="1" applyBorder="1" applyAlignment="1">
      <alignment horizontal="center"/>
    </xf>
    <xf numFmtId="0" fontId="0" fillId="5" borderId="13" xfId="0" applyFill="1" applyBorder="1" applyAlignment="1">
      <alignment horizontal="left"/>
    </xf>
    <xf numFmtId="0" fontId="0" fillId="5" borderId="14" xfId="0" applyFill="1" applyBorder="1" applyAlignment="1">
      <alignment horizontal="center"/>
    </xf>
    <xf numFmtId="2" fontId="0" fillId="5" borderId="16" xfId="0" applyNumberFormat="1" applyFill="1" applyBorder="1" applyAlignment="1">
      <alignment horizontal="center"/>
    </xf>
    <xf numFmtId="0" fontId="10" fillId="6" borderId="0" xfId="0" applyFont="1" applyFill="1"/>
    <xf numFmtId="0" fontId="0" fillId="6" borderId="0" xfId="0" applyFill="1"/>
    <xf numFmtId="0" fontId="4" fillId="6" borderId="0" xfId="0" applyFont="1" applyFill="1"/>
    <xf numFmtId="0" fontId="0" fillId="6" borderId="13" xfId="0" applyFill="1" applyBorder="1" applyAlignment="1">
      <alignment horizontal="center"/>
    </xf>
    <xf numFmtId="0" fontId="0" fillId="6" borderId="13" xfId="0" applyFill="1" applyBorder="1" applyAlignment="1">
      <alignment horizontal="left"/>
    </xf>
    <xf numFmtId="0" fontId="0" fillId="6" borderId="14" xfId="0" applyFill="1" applyBorder="1"/>
    <xf numFmtId="0" fontId="0" fillId="6" borderId="15" xfId="0" applyFill="1" applyBorder="1"/>
    <xf numFmtId="0" fontId="4" fillId="5" borderId="0" xfId="0" applyFont="1" applyFill="1"/>
    <xf numFmtId="0" fontId="0" fillId="0" borderId="0" xfId="0" applyAlignment="1">
      <alignment vertical="top"/>
    </xf>
    <xf numFmtId="0" fontId="9" fillId="0" borderId="5" xfId="0" quotePrefix="1" applyFont="1" applyBorder="1" applyAlignment="1">
      <alignment vertical="justify" wrapText="1"/>
    </xf>
    <xf numFmtId="0" fontId="9" fillId="0" borderId="9" xfId="0" applyFont="1" applyBorder="1" applyAlignment="1">
      <alignment vertical="center"/>
    </xf>
    <xf numFmtId="0" fontId="9" fillId="0" borderId="8" xfId="0" applyFont="1" applyBorder="1" applyAlignment="1">
      <alignment vertical="center"/>
    </xf>
    <xf numFmtId="2" fontId="29" fillId="0" borderId="0" xfId="4" applyNumberFormat="1" applyFont="1" applyFill="1" applyBorder="1" applyAlignment="1">
      <alignment horizontal="left"/>
    </xf>
    <xf numFmtId="0" fontId="11" fillId="0" borderId="11" xfId="0" applyFont="1" applyBorder="1" applyAlignment="1">
      <alignment horizontal="left"/>
    </xf>
    <xf numFmtId="0" fontId="30" fillId="0" borderId="0" xfId="0" applyFont="1" applyAlignment="1">
      <alignment horizontal="left" vertical="center" indent="10"/>
    </xf>
    <xf numFmtId="0" fontId="9" fillId="0" borderId="5" xfId="0" applyFont="1" applyBorder="1" applyAlignment="1">
      <alignment vertical="center"/>
    </xf>
    <xf numFmtId="0" fontId="0" fillId="0" borderId="0" xfId="0" applyAlignment="1">
      <alignment horizontal="left"/>
    </xf>
    <xf numFmtId="2" fontId="4" fillId="0" borderId="0" xfId="0" applyNumberFormat="1" applyFont="1"/>
    <xf numFmtId="2" fontId="0" fillId="5" borderId="12" xfId="0" applyNumberFormat="1" applyFill="1" applyBorder="1" applyAlignment="1">
      <alignment horizontal="center"/>
    </xf>
    <xf numFmtId="0" fontId="0" fillId="5" borderId="12" xfId="0" applyFill="1" applyBorder="1" applyAlignment="1">
      <alignment horizontal="center"/>
    </xf>
    <xf numFmtId="0" fontId="0" fillId="5" borderId="0" xfId="0" applyFill="1" applyAlignment="1">
      <alignment horizontal="center"/>
    </xf>
    <xf numFmtId="0" fontId="0" fillId="5" borderId="0" xfId="0" applyFill="1" applyAlignment="1">
      <alignment horizontal="left"/>
    </xf>
    <xf numFmtId="0" fontId="9" fillId="0" borderId="10" xfId="0" applyFont="1" applyBorder="1" applyAlignment="1">
      <alignment vertical="top"/>
    </xf>
    <xf numFmtId="0" fontId="0" fillId="0" borderId="9" xfId="0" applyBorder="1" applyAlignment="1">
      <alignment vertical="top"/>
    </xf>
    <xf numFmtId="0" fontId="31" fillId="0" borderId="0" xfId="0" applyFont="1"/>
    <xf numFmtId="1" fontId="15" fillId="3" borderId="5" xfId="0" applyNumberFormat="1" applyFont="1" applyFill="1" applyBorder="1" applyAlignment="1">
      <alignment horizontal="center"/>
    </xf>
    <xf numFmtId="1" fontId="9" fillId="0" borderId="0" xfId="0" applyNumberFormat="1" applyFont="1"/>
    <xf numFmtId="1" fontId="32" fillId="0" borderId="0" xfId="5" applyNumberFormat="1" applyFill="1" applyBorder="1"/>
    <xf numFmtId="0" fontId="11" fillId="0" borderId="0" xfId="0" applyFont="1" applyAlignment="1">
      <alignment horizontal="center"/>
    </xf>
    <xf numFmtId="0" fontId="15" fillId="3" borderId="0" xfId="0" applyFont="1" applyFill="1"/>
    <xf numFmtId="0" fontId="9" fillId="0" borderId="0" xfId="0" applyFont="1" applyAlignment="1">
      <alignment vertical="center"/>
    </xf>
    <xf numFmtId="0" fontId="9" fillId="0" borderId="0" xfId="0" applyFont="1" applyAlignment="1">
      <alignment vertical="top"/>
    </xf>
    <xf numFmtId="166" fontId="0" fillId="5" borderId="12" xfId="0" applyNumberFormat="1" applyFill="1" applyBorder="1" applyAlignment="1">
      <alignment horizontal="center"/>
    </xf>
    <xf numFmtId="0" fontId="15" fillId="3" borderId="9" xfId="0" applyFont="1" applyFill="1" applyBorder="1"/>
    <xf numFmtId="0" fontId="15" fillId="3" borderId="10" xfId="0" applyFont="1" applyFill="1" applyBorder="1"/>
    <xf numFmtId="0" fontId="15" fillId="3" borderId="8" xfId="0" applyFont="1" applyFill="1" applyBorder="1"/>
    <xf numFmtId="0" fontId="33" fillId="0" borderId="0" xfId="0" applyFont="1"/>
    <xf numFmtId="0" fontId="0" fillId="0" borderId="6" xfId="0" applyBorder="1" applyAlignment="1">
      <alignment vertical="justify" wrapText="1"/>
    </xf>
    <xf numFmtId="0" fontId="10" fillId="0" borderId="0" xfId="0" applyFont="1" applyAlignment="1">
      <alignment vertical="center"/>
    </xf>
    <xf numFmtId="0" fontId="11" fillId="0" borderId="0" xfId="0" applyFont="1" applyAlignment="1">
      <alignment wrapText="1"/>
    </xf>
    <xf numFmtId="2" fontId="0" fillId="0" borderId="0" xfId="0" applyNumberFormat="1"/>
    <xf numFmtId="2" fontId="9" fillId="0" borderId="5" xfId="0" applyNumberFormat="1" applyFont="1" applyBorder="1" applyAlignment="1">
      <alignment horizontal="left" vertical="center" indent="1"/>
    </xf>
    <xf numFmtId="2" fontId="13" fillId="2" borderId="5" xfId="0" applyNumberFormat="1" applyFont="1" applyFill="1" applyBorder="1" applyAlignment="1">
      <alignment horizontal="center" vertical="center"/>
    </xf>
    <xf numFmtId="0" fontId="0" fillId="8" borderId="17" xfId="0" applyFill="1" applyBorder="1"/>
    <xf numFmtId="0" fontId="0" fillId="8" borderId="18" xfId="0" applyFill="1" applyBorder="1"/>
    <xf numFmtId="0" fontId="0" fillId="8" borderId="0" xfId="0" applyFill="1"/>
    <xf numFmtId="0" fontId="0" fillId="8" borderId="19" xfId="0" applyFill="1" applyBorder="1"/>
    <xf numFmtId="0" fontId="0" fillId="8" borderId="20" xfId="0" applyFill="1" applyBorder="1"/>
    <xf numFmtId="0" fontId="0" fillId="8" borderId="21" xfId="0" applyFill="1" applyBorder="1"/>
    <xf numFmtId="167" fontId="13" fillId="2" borderId="5" xfId="1" applyNumberFormat="1" applyFont="1" applyFill="1" applyBorder="1" applyAlignment="1">
      <alignment horizontal="center"/>
    </xf>
    <xf numFmtId="168" fontId="13" fillId="2" borderId="5" xfId="1" applyNumberFormat="1" applyFont="1" applyFill="1" applyBorder="1" applyAlignment="1">
      <alignment horizontal="center" vertical="center"/>
    </xf>
    <xf numFmtId="167" fontId="13" fillId="2" borderId="5" xfId="1" applyNumberFormat="1" applyFont="1" applyFill="1" applyBorder="1" applyAlignment="1">
      <alignment horizontal="center" vertical="center"/>
    </xf>
    <xf numFmtId="0" fontId="9" fillId="0" borderId="5" xfId="0" applyFont="1" applyBorder="1" applyAlignment="1">
      <alignment horizontal="left" vertical="center" wrapText="1"/>
    </xf>
    <xf numFmtId="1" fontId="13" fillId="2" borderId="5" xfId="0" applyNumberFormat="1" applyFont="1" applyFill="1" applyBorder="1" applyAlignment="1">
      <alignment horizontal="center" vertical="center"/>
    </xf>
    <xf numFmtId="1" fontId="4" fillId="0" borderId="0" xfId="0" applyNumberFormat="1" applyFont="1"/>
    <xf numFmtId="1" fontId="9" fillId="0" borderId="5" xfId="0" applyNumberFormat="1" applyFont="1" applyBorder="1" applyAlignment="1">
      <alignment horizontal="left" vertical="center" indent="1"/>
    </xf>
    <xf numFmtId="1" fontId="9" fillId="0" borderId="4" xfId="0" applyNumberFormat="1" applyFont="1" applyBorder="1" applyAlignment="1">
      <alignment horizontal="left" vertical="center" indent="1"/>
    </xf>
    <xf numFmtId="165" fontId="9" fillId="0" borderId="0" xfId="0" applyNumberFormat="1" applyFont="1" applyAlignment="1">
      <alignment horizontal="right"/>
    </xf>
    <xf numFmtId="0" fontId="4" fillId="0" borderId="0" xfId="0" applyFont="1" applyAlignment="1">
      <alignment horizontal="left"/>
    </xf>
    <xf numFmtId="0" fontId="13" fillId="2" borderId="5" xfId="0" applyFont="1" applyFill="1" applyBorder="1" applyAlignment="1">
      <alignment horizontal="center"/>
    </xf>
    <xf numFmtId="0" fontId="11" fillId="0" borderId="0" xfId="0" quotePrefix="1" applyFont="1" applyAlignment="1">
      <alignment horizontal="center"/>
    </xf>
    <xf numFmtId="165" fontId="13" fillId="2" borderId="5" xfId="0" applyNumberFormat="1" applyFont="1" applyFill="1" applyBorder="1" applyAlignment="1">
      <alignment horizontal="center"/>
    </xf>
    <xf numFmtId="1" fontId="11" fillId="0" borderId="5" xfId="0" applyNumberFormat="1" applyFont="1" applyBorder="1" applyAlignment="1">
      <alignment horizontal="center"/>
    </xf>
    <xf numFmtId="2" fontId="11" fillId="0" borderId="0" xfId="0" applyNumberFormat="1" applyFont="1" applyAlignment="1">
      <alignment horizontal="center"/>
    </xf>
    <xf numFmtId="9" fontId="13" fillId="2" borderId="5" xfId="2" applyFont="1" applyFill="1" applyBorder="1" applyAlignment="1">
      <alignment horizontal="center"/>
    </xf>
    <xf numFmtId="0" fontId="4" fillId="0" borderId="8" xfId="0" applyFont="1" applyBorder="1"/>
    <xf numFmtId="9" fontId="13" fillId="2" borderId="5" xfId="0" applyNumberFormat="1" applyFont="1" applyFill="1" applyBorder="1" applyAlignment="1">
      <alignment horizontal="center"/>
    </xf>
    <xf numFmtId="9" fontId="4" fillId="0" borderId="0" xfId="0" applyNumberFormat="1" applyFont="1"/>
    <xf numFmtId="9" fontId="13" fillId="0" borderId="0" xfId="0" applyNumberFormat="1" applyFont="1" applyAlignment="1">
      <alignment horizontal="center"/>
    </xf>
    <xf numFmtId="1" fontId="13" fillId="0" borderId="0" xfId="0" applyNumberFormat="1" applyFont="1" applyAlignment="1">
      <alignment horizontal="center"/>
    </xf>
    <xf numFmtId="0" fontId="4" fillId="0" borderId="3" xfId="0" applyFont="1" applyBorder="1" applyAlignment="1">
      <alignment vertical="justify" wrapText="1"/>
    </xf>
    <xf numFmtId="0" fontId="4" fillId="0" borderId="4" xfId="0" applyFont="1" applyBorder="1" applyAlignment="1">
      <alignment vertical="justify" wrapText="1"/>
    </xf>
    <xf numFmtId="0" fontId="11" fillId="0" borderId="0" xfId="0" applyFont="1" applyAlignment="1">
      <alignment horizontal="left" vertical="center" wrapText="1" indent="1"/>
    </xf>
    <xf numFmtId="0" fontId="9" fillId="0" borderId="0" xfId="0" applyFont="1" applyAlignment="1">
      <alignment horizontal="center" vertical="center"/>
    </xf>
    <xf numFmtId="0" fontId="8" fillId="0" borderId="0" xfId="0" applyFont="1" applyAlignment="1">
      <alignment horizontal="center"/>
    </xf>
    <xf numFmtId="0" fontId="4" fillId="8" borderId="17" xfId="0" applyFont="1" applyFill="1" applyBorder="1"/>
    <xf numFmtId="0" fontId="4" fillId="8" borderId="0" xfId="0" applyFont="1" applyFill="1"/>
    <xf numFmtId="0" fontId="4" fillId="8" borderId="20" xfId="0" applyFont="1" applyFill="1" applyBorder="1"/>
    <xf numFmtId="0" fontId="35" fillId="0" borderId="0" xfId="0" applyFont="1"/>
    <xf numFmtId="0" fontId="36" fillId="0" borderId="0" xfId="0" applyFont="1"/>
    <xf numFmtId="0" fontId="37" fillId="0" borderId="0" xfId="0" applyFont="1"/>
    <xf numFmtId="167" fontId="15" fillId="3" borderId="5" xfId="1" applyNumberFormat="1" applyFont="1" applyFill="1" applyBorder="1" applyAlignment="1">
      <alignment horizontal="center"/>
    </xf>
    <xf numFmtId="0" fontId="0" fillId="0" borderId="0" xfId="0" applyAlignment="1">
      <alignment horizontal="right"/>
    </xf>
    <xf numFmtId="0" fontId="24" fillId="0" borderId="0" xfId="0" applyFont="1" applyAlignment="1">
      <alignment horizontal="left"/>
    </xf>
    <xf numFmtId="3" fontId="13" fillId="2" borderId="5" xfId="0" applyNumberFormat="1" applyFont="1" applyFill="1" applyBorder="1" applyAlignment="1">
      <alignment horizontal="center"/>
    </xf>
    <xf numFmtId="3" fontId="13" fillId="2" borderId="5" xfId="0" applyNumberFormat="1" applyFont="1" applyFill="1" applyBorder="1" applyAlignment="1">
      <alignment horizontal="center" vertical="center"/>
    </xf>
    <xf numFmtId="2" fontId="15" fillId="9" borderId="5" xfId="0" applyNumberFormat="1" applyFont="1" applyFill="1" applyBorder="1" applyAlignment="1">
      <alignment horizontal="center"/>
    </xf>
    <xf numFmtId="1" fontId="15" fillId="9" borderId="5" xfId="0" applyNumberFormat="1" applyFont="1" applyFill="1" applyBorder="1" applyAlignment="1">
      <alignment horizontal="center"/>
    </xf>
    <xf numFmtId="0" fontId="15" fillId="9" borderId="5" xfId="0" applyFont="1" applyFill="1" applyBorder="1" applyAlignment="1">
      <alignment horizontal="center"/>
    </xf>
    <xf numFmtId="0" fontId="0" fillId="9" borderId="7" xfId="0" applyFill="1" applyBorder="1"/>
    <xf numFmtId="0" fontId="0" fillId="9" borderId="1" xfId="0" applyFill="1" applyBorder="1"/>
    <xf numFmtId="0" fontId="0" fillId="9" borderId="1" xfId="0" applyFill="1" applyBorder="1" applyAlignment="1">
      <alignment horizontal="center"/>
    </xf>
    <xf numFmtId="0" fontId="0" fillId="9" borderId="2" xfId="0" applyFill="1" applyBorder="1"/>
    <xf numFmtId="0" fontId="6" fillId="9" borderId="6" xfId="0" quotePrefix="1" applyFont="1" applyFill="1" applyBorder="1" applyAlignment="1">
      <alignment horizontal="center"/>
    </xf>
    <xf numFmtId="0" fontId="4" fillId="0" borderId="0" xfId="0" applyFont="1" applyAlignment="1">
      <alignment horizontal="right"/>
    </xf>
    <xf numFmtId="3" fontId="15" fillId="3" borderId="5" xfId="0" applyNumberFormat="1" applyFont="1" applyFill="1" applyBorder="1" applyAlignment="1">
      <alignment horizontal="center"/>
    </xf>
    <xf numFmtId="3" fontId="0" fillId="0" borderId="0" xfId="0" applyNumberFormat="1"/>
    <xf numFmtId="0" fontId="4" fillId="0" borderId="0" xfId="0" applyFont="1" applyAlignment="1">
      <alignment horizontal="right" vertical="center" wrapText="1"/>
    </xf>
    <xf numFmtId="0" fontId="4" fillId="0" borderId="0" xfId="0" applyFont="1" applyAlignment="1">
      <alignment vertical="center"/>
    </xf>
    <xf numFmtId="3" fontId="15" fillId="3" borderId="5" xfId="0" applyNumberFormat="1" applyFont="1" applyFill="1" applyBorder="1" applyAlignment="1">
      <alignment horizontal="center" vertical="center"/>
    </xf>
    <xf numFmtId="0" fontId="4" fillId="0" borderId="0" xfId="0" applyFont="1" applyAlignment="1">
      <alignment horizontal="right" vertical="center"/>
    </xf>
    <xf numFmtId="0" fontId="9" fillId="0" borderId="5" xfId="0" applyFont="1" applyBorder="1" applyAlignment="1">
      <alignment vertical="justify"/>
    </xf>
    <xf numFmtId="0" fontId="9" fillId="0" borderId="5" xfId="0" applyFont="1" applyBorder="1" applyAlignment="1">
      <alignment vertical="justify" wrapText="1"/>
    </xf>
    <xf numFmtId="0" fontId="0" fillId="0" borderId="9" xfId="0" applyBorder="1"/>
    <xf numFmtId="166" fontId="0" fillId="5" borderId="16" xfId="0" applyNumberFormat="1" applyFill="1" applyBorder="1" applyAlignment="1">
      <alignment horizontal="center"/>
    </xf>
    <xf numFmtId="0" fontId="10" fillId="0" borderId="0" xfId="0" applyFont="1" applyAlignment="1">
      <alignment horizontal="center" wrapText="1"/>
    </xf>
    <xf numFmtId="0" fontId="4" fillId="0" borderId="0" xfId="0" applyFont="1" applyAlignment="1">
      <alignment wrapText="1"/>
    </xf>
    <xf numFmtId="165" fontId="15" fillId="9" borderId="5" xfId="0" applyNumberFormat="1" applyFont="1" applyFill="1" applyBorder="1" applyAlignment="1">
      <alignment horizontal="center"/>
    </xf>
    <xf numFmtId="0" fontId="32" fillId="0" borderId="0" xfId="5"/>
    <xf numFmtId="164" fontId="15" fillId="3" borderId="5" xfId="1" applyFont="1" applyFill="1" applyBorder="1" applyAlignment="1">
      <alignment horizontal="center" vertical="center"/>
    </xf>
    <xf numFmtId="10" fontId="13" fillId="2" borderId="5" xfId="2" applyNumberFormat="1" applyFont="1" applyFill="1" applyBorder="1" applyAlignment="1">
      <alignment horizontal="center"/>
    </xf>
    <xf numFmtId="164" fontId="13" fillId="2" borderId="5" xfId="1" applyFont="1" applyFill="1" applyBorder="1" applyAlignment="1">
      <alignment horizontal="center" vertical="center"/>
    </xf>
    <xf numFmtId="0" fontId="2" fillId="10" borderId="0" xfId="8" applyFill="1"/>
    <xf numFmtId="0" fontId="39" fillId="10" borderId="0" xfId="7" applyFont="1" applyFill="1"/>
    <xf numFmtId="169" fontId="40" fillId="2" borderId="5" xfId="8" quotePrefix="1" applyNumberFormat="1" applyFont="1" applyFill="1" applyBorder="1" applyAlignment="1">
      <alignment horizontal="center" vertical="center"/>
    </xf>
    <xf numFmtId="0" fontId="41" fillId="10" borderId="0" xfId="8" applyFont="1" applyFill="1"/>
    <xf numFmtId="0" fontId="40" fillId="2" borderId="5" xfId="8" quotePrefix="1" applyFont="1" applyFill="1" applyBorder="1" applyAlignment="1">
      <alignment horizontal="center" vertical="center"/>
    </xf>
    <xf numFmtId="0" fontId="5" fillId="0" borderId="0" xfId="8" applyFont="1"/>
    <xf numFmtId="0" fontId="42" fillId="3" borderId="5" xfId="8" quotePrefix="1" applyFont="1" applyFill="1" applyBorder="1" applyAlignment="1">
      <alignment horizontal="center"/>
    </xf>
    <xf numFmtId="0" fontId="41" fillId="10" borderId="5" xfId="8" applyFont="1" applyFill="1" applyBorder="1"/>
    <xf numFmtId="0" fontId="43" fillId="11" borderId="5" xfId="8" applyFont="1" applyFill="1" applyBorder="1" applyAlignment="1">
      <alignment horizontal="center"/>
    </xf>
    <xf numFmtId="0" fontId="45" fillId="10" borderId="0" xfId="8" applyFont="1" applyFill="1" applyAlignment="1">
      <alignment wrapText="1"/>
    </xf>
    <xf numFmtId="0" fontId="46" fillId="10" borderId="0" xfId="8" applyFont="1" applyFill="1"/>
    <xf numFmtId="0" fontId="2" fillId="0" borderId="0" xfId="8"/>
    <xf numFmtId="0" fontId="49" fillId="0" borderId="0" xfId="8" applyFont="1" applyAlignment="1">
      <alignment horizontal="center" wrapText="1"/>
    </xf>
    <xf numFmtId="0" fontId="50" fillId="0" borderId="0" xfId="5" applyFont="1"/>
    <xf numFmtId="0" fontId="32" fillId="0" borderId="0" xfId="5" applyAlignment="1">
      <alignment horizontal="left"/>
    </xf>
    <xf numFmtId="0" fontId="32" fillId="10" borderId="0" xfId="5" applyFill="1"/>
    <xf numFmtId="0" fontId="51" fillId="0" borderId="0" xfId="0" applyFont="1"/>
    <xf numFmtId="0" fontId="52" fillId="0" borderId="0" xfId="0" applyFont="1"/>
    <xf numFmtId="3" fontId="4" fillId="0" borderId="0" xfId="0" applyNumberFormat="1" applyFont="1" applyAlignment="1">
      <alignment horizontal="right"/>
    </xf>
    <xf numFmtId="0" fontId="53" fillId="0" borderId="0" xfId="0" applyFont="1"/>
    <xf numFmtId="0" fontId="43" fillId="11" borderId="5" xfId="8" applyFont="1" applyFill="1" applyBorder="1" applyAlignment="1">
      <alignment horizontal="left"/>
    </xf>
    <xf numFmtId="0" fontId="43" fillId="11" borderId="5" xfId="8" applyFont="1" applyFill="1" applyBorder="1"/>
    <xf numFmtId="16" fontId="0" fillId="0" borderId="0" xfId="0" applyNumberFormat="1"/>
    <xf numFmtId="170" fontId="0" fillId="0" borderId="0" xfId="2" applyNumberFormat="1" applyFont="1"/>
    <xf numFmtId="0" fontId="4" fillId="12" borderId="0" xfId="9" applyFill="1" applyAlignment="1">
      <alignment horizontal="center"/>
    </xf>
    <xf numFmtId="0" fontId="54" fillId="0" borderId="0" xfId="0" applyFont="1"/>
    <xf numFmtId="14" fontId="0" fillId="0" borderId="0" xfId="0" applyNumberFormat="1"/>
    <xf numFmtId="3" fontId="4" fillId="0" borderId="0" xfId="0" applyNumberFormat="1" applyFont="1"/>
    <xf numFmtId="0" fontId="55" fillId="0" borderId="0" xfId="0" applyFont="1"/>
    <xf numFmtId="171" fontId="15" fillId="3" borderId="5" xfId="0" applyNumberFormat="1" applyFont="1" applyFill="1" applyBorder="1" applyAlignment="1">
      <alignment horizontal="center"/>
    </xf>
    <xf numFmtId="171" fontId="15" fillId="9" borderId="5" xfId="2" applyNumberFormat="1" applyFont="1" applyFill="1" applyBorder="1" applyAlignment="1">
      <alignment horizontal="center"/>
    </xf>
    <xf numFmtId="172" fontId="15" fillId="9" borderId="5" xfId="2" applyNumberFormat="1" applyFont="1" applyFill="1" applyBorder="1" applyAlignment="1">
      <alignment horizontal="center"/>
    </xf>
    <xf numFmtId="164" fontId="15" fillId="3" borderId="5" xfId="1" applyFont="1" applyFill="1" applyBorder="1" applyAlignment="1">
      <alignment horizontal="center"/>
    </xf>
    <xf numFmtId="0" fontId="4" fillId="5" borderId="5" xfId="0" applyFont="1" applyFill="1" applyBorder="1" applyAlignment="1">
      <alignment horizontal="center" wrapText="1"/>
    </xf>
    <xf numFmtId="0" fontId="0" fillId="5" borderId="5" xfId="0" applyFill="1" applyBorder="1" applyAlignment="1">
      <alignment horizontal="center" wrapText="1"/>
    </xf>
    <xf numFmtId="169" fontId="0" fillId="5" borderId="12" xfId="0" applyNumberFormat="1" applyFill="1" applyBorder="1" applyAlignment="1">
      <alignment horizontal="center"/>
    </xf>
    <xf numFmtId="0" fontId="4" fillId="0" borderId="0" xfId="0" applyFont="1" applyAlignment="1">
      <alignment horizontal="center"/>
    </xf>
    <xf numFmtId="0" fontId="15" fillId="3" borderId="5" xfId="1" applyNumberFormat="1" applyFont="1" applyFill="1" applyBorder="1" applyAlignment="1">
      <alignment horizontal="center"/>
    </xf>
    <xf numFmtId="0" fontId="11" fillId="0" borderId="0" xfId="0" applyFont="1" applyAlignment="1">
      <alignment horizontal="center" vertical="justify" wrapText="1"/>
    </xf>
    <xf numFmtId="0" fontId="9" fillId="0" borderId="10" xfId="0" applyFont="1" applyBorder="1" applyAlignment="1">
      <alignment vertical="top"/>
    </xf>
    <xf numFmtId="0" fontId="9" fillId="0" borderId="9" xfId="0" applyFont="1" applyBorder="1" applyAlignment="1">
      <alignment vertical="top"/>
    </xf>
    <xf numFmtId="0" fontId="0" fillId="0" borderId="9" xfId="0" applyBorder="1" applyAlignment="1">
      <alignment vertical="top"/>
    </xf>
    <xf numFmtId="0" fontId="0" fillId="0" borderId="8" xfId="0" applyBorder="1" applyAlignment="1">
      <alignment vertical="top"/>
    </xf>
    <xf numFmtId="0" fontId="0" fillId="0" borderId="8" xfId="0" applyBorder="1"/>
    <xf numFmtId="165" fontId="13" fillId="2" borderId="10" xfId="0" applyNumberFormat="1" applyFont="1" applyFill="1" applyBorder="1" applyAlignment="1">
      <alignment horizontal="center" vertical="center"/>
    </xf>
    <xf numFmtId="165" fontId="13" fillId="2" borderId="8" xfId="0" applyNumberFormat="1" applyFont="1" applyFill="1" applyBorder="1" applyAlignment="1">
      <alignment horizontal="center" vertical="center"/>
    </xf>
    <xf numFmtId="2" fontId="11" fillId="0" borderId="10" xfId="0" applyNumberFormat="1" applyFont="1" applyBorder="1" applyAlignment="1">
      <alignment horizontal="center" vertical="center"/>
    </xf>
    <xf numFmtId="2" fontId="11" fillId="0" borderId="8" xfId="0" applyNumberFormat="1" applyFont="1" applyBorder="1" applyAlignment="1">
      <alignment horizontal="center" vertical="center"/>
    </xf>
    <xf numFmtId="0" fontId="9" fillId="0" borderId="10" xfId="0" applyFont="1" applyBorder="1" applyAlignment="1">
      <alignment vertical="center"/>
    </xf>
    <xf numFmtId="0" fontId="9" fillId="0" borderId="8" xfId="0" applyFont="1" applyBorder="1" applyAlignment="1">
      <alignment vertical="center"/>
    </xf>
    <xf numFmtId="0" fontId="11" fillId="0" borderId="10" xfId="0" applyFont="1" applyBorder="1" applyAlignment="1">
      <alignment horizontal="center" vertical="center"/>
    </xf>
    <xf numFmtId="0" fontId="11" fillId="0" borderId="8" xfId="0" applyFont="1" applyBorder="1" applyAlignment="1">
      <alignment horizontal="center" vertical="center"/>
    </xf>
    <xf numFmtId="0" fontId="24" fillId="0" borderId="0" xfId="0" applyFont="1" applyAlignment="1">
      <alignment horizontal="left" vertical="center" wrapText="1"/>
    </xf>
    <xf numFmtId="165" fontId="13" fillId="2" borderId="5" xfId="0" applyNumberFormat="1" applyFont="1" applyFill="1" applyBorder="1" applyAlignment="1">
      <alignment horizontal="center" vertical="center"/>
    </xf>
    <xf numFmtId="0" fontId="11" fillId="0" borderId="5" xfId="0" applyFont="1" applyBorder="1" applyAlignment="1">
      <alignment horizontal="center" vertical="center"/>
    </xf>
    <xf numFmtId="0" fontId="9" fillId="0" borderId="5" xfId="0" applyFont="1" applyBorder="1" applyAlignment="1">
      <alignment vertical="center"/>
    </xf>
    <xf numFmtId="165" fontId="13" fillId="2" borderId="9" xfId="0" applyNumberFormat="1" applyFont="1" applyFill="1" applyBorder="1" applyAlignment="1">
      <alignment horizontal="center" vertical="center"/>
    </xf>
    <xf numFmtId="0" fontId="9" fillId="0" borderId="9" xfId="0" applyFont="1" applyBorder="1" applyAlignment="1">
      <alignment vertical="center"/>
    </xf>
    <xf numFmtId="0" fontId="11" fillId="0" borderId="9" xfId="0" applyFont="1" applyBorder="1" applyAlignment="1">
      <alignment horizontal="center" vertical="center"/>
    </xf>
    <xf numFmtId="0" fontId="15" fillId="3" borderId="6" xfId="0" applyFont="1" applyFill="1" applyBorder="1" applyAlignment="1">
      <alignment horizontal="left"/>
    </xf>
    <xf numFmtId="0" fontId="15" fillId="3" borderId="3" xfId="0" applyFont="1" applyFill="1" applyBorder="1" applyAlignment="1">
      <alignment horizontal="left"/>
    </xf>
    <xf numFmtId="0" fontId="15" fillId="3" borderId="4" xfId="0" applyFont="1" applyFill="1" applyBorder="1" applyAlignment="1">
      <alignment horizontal="left"/>
    </xf>
    <xf numFmtId="0" fontId="19" fillId="0" borderId="0" xfId="0" applyFont="1" applyAlignment="1">
      <alignment horizontal="left" wrapText="1"/>
    </xf>
    <xf numFmtId="0" fontId="38" fillId="0" borderId="0" xfId="0" applyFont="1" applyAlignment="1">
      <alignment horizontal="center" vertical="center" wrapText="1"/>
    </xf>
    <xf numFmtId="0" fontId="9" fillId="0" borderId="8" xfId="0" applyFont="1" applyBorder="1" applyAlignment="1">
      <alignment vertical="top"/>
    </xf>
    <xf numFmtId="0" fontId="0" fillId="0" borderId="9" xfId="0" applyBorder="1"/>
    <xf numFmtId="0" fontId="24" fillId="0" borderId="0" xfId="0" applyFont="1" applyAlignment="1">
      <alignment horizontal="left" wrapText="1"/>
    </xf>
    <xf numFmtId="0" fontId="11" fillId="0" borderId="0" xfId="0" applyFont="1" applyAlignment="1">
      <alignment horizontal="left" vertical="top" wrapText="1"/>
    </xf>
    <xf numFmtId="0" fontId="42" fillId="3" borderId="5" xfId="8" quotePrefix="1" applyFont="1" applyFill="1" applyBorder="1" applyAlignment="1">
      <alignment horizontal="left"/>
    </xf>
    <xf numFmtId="0" fontId="40" fillId="2" borderId="5" xfId="8" quotePrefix="1" applyFont="1" applyFill="1" applyBorder="1" applyAlignment="1">
      <alignment horizontal="left"/>
    </xf>
    <xf numFmtId="0" fontId="48" fillId="10" borderId="0" xfId="8" applyFont="1" applyFill="1" applyAlignment="1">
      <alignment horizontal="center" vertical="center" wrapText="1"/>
    </xf>
    <xf numFmtId="0" fontId="47" fillId="10" borderId="24" xfId="8" applyFont="1" applyFill="1" applyBorder="1" applyAlignment="1">
      <alignment horizontal="center" vertical="center" wrapText="1"/>
    </xf>
    <xf numFmtId="0" fontId="47" fillId="10" borderId="18" xfId="8" applyFont="1" applyFill="1" applyBorder="1" applyAlignment="1">
      <alignment horizontal="center" vertical="center" wrapText="1"/>
    </xf>
    <xf numFmtId="0" fontId="47" fillId="10" borderId="23" xfId="8" applyFont="1" applyFill="1" applyBorder="1" applyAlignment="1">
      <alignment horizontal="center" vertical="center" wrapText="1"/>
    </xf>
    <xf numFmtId="0" fontId="47" fillId="10" borderId="19" xfId="8" applyFont="1" applyFill="1" applyBorder="1" applyAlignment="1">
      <alignment horizontal="center" vertical="center" wrapText="1"/>
    </xf>
    <xf numFmtId="0" fontId="47" fillId="10" borderId="22" xfId="8" applyFont="1" applyFill="1" applyBorder="1" applyAlignment="1">
      <alignment horizontal="center" vertical="center" wrapText="1"/>
    </xf>
    <xf numFmtId="0" fontId="47" fillId="10" borderId="21" xfId="8" applyFont="1" applyFill="1" applyBorder="1" applyAlignment="1">
      <alignment horizontal="center" vertical="center" wrapText="1"/>
    </xf>
    <xf numFmtId="0" fontId="41" fillId="10" borderId="0" xfId="8" applyFont="1" applyFill="1" applyAlignment="1">
      <alignment horizontal="left" vertical="center" wrapText="1"/>
    </xf>
    <xf numFmtId="0" fontId="44" fillId="10" borderId="0" xfId="8" applyFont="1" applyFill="1" applyAlignment="1">
      <alignment horizontal="left" vertical="center" wrapText="1"/>
    </xf>
    <xf numFmtId="0" fontId="2" fillId="0" borderId="0" xfId="8" applyAlignment="1">
      <alignment horizontal="left"/>
    </xf>
    <xf numFmtId="0" fontId="49" fillId="0" borderId="0" xfId="8" applyFont="1" applyAlignment="1">
      <alignment horizontal="left" wrapText="1"/>
    </xf>
  </cellXfs>
  <cellStyles count="13">
    <cellStyle name="Insatisfaisant" xfId="4" builtinId="27"/>
    <cellStyle name="Lien hypertexte" xfId="5" builtinId="8"/>
    <cellStyle name="Lien hypertexte 2" xfId="7" xr:uid="{BA050E00-A00E-4910-9AE9-9CB0FF13FB8A}"/>
    <cellStyle name="Milliers" xfId="1" builtinId="3"/>
    <cellStyle name="Normal" xfId="0" builtinId="0"/>
    <cellStyle name="Normal 2" xfId="3" xr:uid="{80989C26-433B-4F3D-A50B-12857EF4703C}"/>
    <cellStyle name="Normal 2 2" xfId="10" xr:uid="{D952F63C-4D71-49CE-9392-FDCD509AF4F4}"/>
    <cellStyle name="Normal 3" xfId="6" xr:uid="{8D682A38-AAEE-4493-851C-C453DAD2D72B}"/>
    <cellStyle name="Normal 3 2" xfId="11" xr:uid="{20CF132F-A453-490C-917C-EB9F05C22353}"/>
    <cellStyle name="Normal 4" xfId="8" xr:uid="{C4262DA7-DD77-4A6C-94C2-7ED575529F7B}"/>
    <cellStyle name="Normal 4 2" xfId="12" xr:uid="{8263B251-3BDD-46DC-B7B8-ACD6F060F149}"/>
    <cellStyle name="Normal 5" xfId="9" xr:uid="{A339D9BD-7C8C-4772-B407-6C288FC10413}"/>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Bilan énergétique (chauffage)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'Situation initiale'!$B$272</c:f>
              <c:strCache>
                <c:ptCount val="1"/>
                <c:pt idx="0">
                  <c:v>Toiture </c:v>
                </c:pt>
              </c:strCache>
            </c:strRef>
          </c:tx>
          <c:spPr>
            <a:solidFill>
              <a:schemeClr val="accent1"/>
            </a:solidFill>
            <a:ln>
              <a:noFill/>
            </a:ln>
            <a:effectLst/>
          </c:spPr>
          <c:invertIfNegative val="0"/>
          <c:dLbls>
            <c:dLbl>
              <c:idx val="0"/>
              <c:tx>
                <c:rich>
                  <a:bodyPr/>
                  <a:lstStyle/>
                  <a:p>
                    <a:fld id="{6112A945-C071-48CC-8E26-9A98E21EAF54}" type="SERIESNAME">
                      <a:rPr lang="en-US" sz="10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E-CA52-4993-8C83-CEF65CFE0F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initiale'!$A$273:$A$276</c:f>
              <c:strCache>
                <c:ptCount val="2"/>
                <c:pt idx="0">
                  <c:v>pertes</c:v>
                </c:pt>
                <c:pt idx="1">
                  <c:v>gains + consommation</c:v>
                </c:pt>
              </c:strCache>
            </c:strRef>
          </c:cat>
          <c:val>
            <c:numRef>
              <c:f>'Situation initiale'!$B$273:$B$274</c:f>
              <c:numCache>
                <c:formatCode>General</c:formatCode>
                <c:ptCount val="2"/>
                <c:pt idx="0" formatCode="0">
                  <c:v>0</c:v>
                </c:pt>
              </c:numCache>
            </c:numRef>
          </c:val>
          <c:extLst>
            <c:ext xmlns:c16="http://schemas.microsoft.com/office/drawing/2014/chart" uri="{C3380CC4-5D6E-409C-BE32-E72D297353CC}">
              <c16:uniqueId val="{00000000-CA52-4993-8C83-CEF65CFE0F36}"/>
            </c:ext>
          </c:extLst>
        </c:ser>
        <c:ser>
          <c:idx val="1"/>
          <c:order val="1"/>
          <c:tx>
            <c:strRef>
              <c:f>'Situation initiale'!$C$272</c:f>
              <c:strCache>
                <c:ptCount val="1"/>
                <c:pt idx="0">
                  <c:v>Murs</c:v>
                </c:pt>
              </c:strCache>
            </c:strRef>
          </c:tx>
          <c:spPr>
            <a:solidFill>
              <a:schemeClr val="accent2"/>
            </a:solidFill>
            <a:ln>
              <a:noFill/>
            </a:ln>
            <a:effectLst/>
          </c:spPr>
          <c:invertIfNegative val="0"/>
          <c:dLbls>
            <c:dLbl>
              <c:idx val="0"/>
              <c:tx>
                <c:rich>
                  <a:bodyPr/>
                  <a:lstStyle/>
                  <a:p>
                    <a:fld id="{A243EB1C-57D7-4093-8EE9-5946EB746B56}" type="SERIESNAME">
                      <a:rPr lang="en-US" sz="10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CA52-4993-8C83-CEF65CFE0F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initiale'!$A$273:$A$276</c:f>
              <c:strCache>
                <c:ptCount val="2"/>
                <c:pt idx="0">
                  <c:v>pertes</c:v>
                </c:pt>
                <c:pt idx="1">
                  <c:v>gains + consommation</c:v>
                </c:pt>
              </c:strCache>
            </c:strRef>
          </c:cat>
          <c:val>
            <c:numRef>
              <c:f>'Situation initiale'!$C$273:$C$274</c:f>
              <c:numCache>
                <c:formatCode>General</c:formatCode>
                <c:ptCount val="2"/>
                <c:pt idx="0" formatCode="0">
                  <c:v>0</c:v>
                </c:pt>
              </c:numCache>
            </c:numRef>
          </c:val>
          <c:extLst>
            <c:ext xmlns:c16="http://schemas.microsoft.com/office/drawing/2014/chart" uri="{C3380CC4-5D6E-409C-BE32-E72D297353CC}">
              <c16:uniqueId val="{00000001-CA52-4993-8C83-CEF65CFE0F36}"/>
            </c:ext>
          </c:extLst>
        </c:ser>
        <c:ser>
          <c:idx val="2"/>
          <c:order val="2"/>
          <c:tx>
            <c:strRef>
              <c:f>'Situation initiale'!$D$272</c:f>
              <c:strCache>
                <c:ptCount val="1"/>
                <c:pt idx="0">
                  <c:v>Vitrages - portes</c:v>
                </c:pt>
              </c:strCache>
            </c:strRef>
          </c:tx>
          <c:spPr>
            <a:solidFill>
              <a:schemeClr val="accent3"/>
            </a:solidFill>
            <a:ln>
              <a:noFill/>
            </a:ln>
            <a:effectLst/>
          </c:spPr>
          <c:invertIfNegative val="0"/>
          <c:dLbls>
            <c:dLbl>
              <c:idx val="0"/>
              <c:tx>
                <c:rich>
                  <a:bodyPr/>
                  <a:lstStyle/>
                  <a:p>
                    <a:fld id="{6FC53BC8-8626-4614-AA78-BCD049FDA495}" type="SERIESNAME">
                      <a:rPr lang="en-US" sz="10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CA52-4993-8C83-CEF65CFE0F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initiale'!$A$273:$A$276</c:f>
              <c:strCache>
                <c:ptCount val="2"/>
                <c:pt idx="0">
                  <c:v>pertes</c:v>
                </c:pt>
                <c:pt idx="1">
                  <c:v>gains + consommation</c:v>
                </c:pt>
              </c:strCache>
            </c:strRef>
          </c:cat>
          <c:val>
            <c:numRef>
              <c:f>'Situation initiale'!$D$273:$D$274</c:f>
              <c:numCache>
                <c:formatCode>General</c:formatCode>
                <c:ptCount val="2"/>
                <c:pt idx="0" formatCode="0">
                  <c:v>0</c:v>
                </c:pt>
              </c:numCache>
            </c:numRef>
          </c:val>
          <c:extLst>
            <c:ext xmlns:c16="http://schemas.microsoft.com/office/drawing/2014/chart" uri="{C3380CC4-5D6E-409C-BE32-E72D297353CC}">
              <c16:uniqueId val="{00000003-CA52-4993-8C83-CEF65CFE0F36}"/>
            </c:ext>
          </c:extLst>
        </c:ser>
        <c:ser>
          <c:idx val="3"/>
          <c:order val="3"/>
          <c:tx>
            <c:strRef>
              <c:f>'Situation initiale'!$E$272</c:f>
              <c:strCache>
                <c:ptCount val="1"/>
                <c:pt idx="0">
                  <c:v>Planchers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initiale'!$A$273:$A$276</c:f>
              <c:strCache>
                <c:ptCount val="2"/>
                <c:pt idx="0">
                  <c:v>pertes</c:v>
                </c:pt>
                <c:pt idx="1">
                  <c:v>gains + consommation</c:v>
                </c:pt>
              </c:strCache>
            </c:strRef>
          </c:cat>
          <c:val>
            <c:numRef>
              <c:f>'Situation initiale'!$E$273:$E$274</c:f>
              <c:numCache>
                <c:formatCode>General</c:formatCode>
                <c:ptCount val="2"/>
                <c:pt idx="0" formatCode="0">
                  <c:v>0</c:v>
                </c:pt>
              </c:numCache>
            </c:numRef>
          </c:val>
          <c:extLst>
            <c:ext xmlns:c16="http://schemas.microsoft.com/office/drawing/2014/chart" uri="{C3380CC4-5D6E-409C-BE32-E72D297353CC}">
              <c16:uniqueId val="{00000004-CA52-4993-8C83-CEF65CFE0F36}"/>
            </c:ext>
          </c:extLst>
        </c:ser>
        <c:ser>
          <c:idx val="4"/>
          <c:order val="4"/>
          <c:tx>
            <c:strRef>
              <c:f>'Situation initiale'!$F$272</c:f>
              <c:strCache>
                <c:ptCount val="1"/>
                <c:pt idx="0">
                  <c:v>Déperditions aérauliques</c:v>
                </c:pt>
              </c:strCache>
            </c:strRef>
          </c:tx>
          <c:spPr>
            <a:solidFill>
              <a:schemeClr val="accent5"/>
            </a:solidFill>
            <a:ln>
              <a:noFill/>
            </a:ln>
            <a:effectLst/>
          </c:spPr>
          <c:invertIfNegative val="0"/>
          <c:dLbls>
            <c:dLbl>
              <c:idx val="0"/>
              <c:tx>
                <c:rich>
                  <a:bodyPr/>
                  <a:lstStyle/>
                  <a:p>
                    <a:fld id="{EBB575F4-A9F1-4028-9729-D51E066C7E1F}" type="SERIESNAME">
                      <a:rPr lang="en-US" sz="1000" b="1" baseline="0"/>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CA52-4993-8C83-CEF65CFE0F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initiale'!$A$273:$A$276</c:f>
              <c:strCache>
                <c:ptCount val="2"/>
                <c:pt idx="0">
                  <c:v>pertes</c:v>
                </c:pt>
                <c:pt idx="1">
                  <c:v>gains + consommation</c:v>
                </c:pt>
              </c:strCache>
            </c:strRef>
          </c:cat>
          <c:val>
            <c:numRef>
              <c:f>'Situation initiale'!$F$273:$F$274</c:f>
              <c:numCache>
                <c:formatCode>General</c:formatCode>
                <c:ptCount val="2"/>
                <c:pt idx="0" formatCode="0">
                  <c:v>0</c:v>
                </c:pt>
              </c:numCache>
            </c:numRef>
          </c:val>
          <c:extLst>
            <c:ext xmlns:c16="http://schemas.microsoft.com/office/drawing/2014/chart" uri="{C3380CC4-5D6E-409C-BE32-E72D297353CC}">
              <c16:uniqueId val="{00000005-CA52-4993-8C83-CEF65CFE0F36}"/>
            </c:ext>
          </c:extLst>
        </c:ser>
        <c:ser>
          <c:idx val="9"/>
          <c:order val="5"/>
          <c:tx>
            <c:strRef>
              <c:f>'Situation initiale'!$G$272</c:f>
              <c:strCache>
                <c:ptCount val="1"/>
                <c:pt idx="0">
                  <c:v>Nœuds constructifs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'Situation initiale'!$G$273</c:f>
              <c:numCache>
                <c:formatCode>0</c:formatCode>
                <c:ptCount val="1"/>
                <c:pt idx="0">
                  <c:v>0</c:v>
                </c:pt>
              </c:numCache>
            </c:numRef>
          </c:val>
          <c:extLst>
            <c:ext xmlns:c16="http://schemas.microsoft.com/office/drawing/2014/chart" uri="{C3380CC4-5D6E-409C-BE32-E72D297353CC}">
              <c16:uniqueId val="{00000001-9214-4B50-A786-E54F69C6C45C}"/>
            </c:ext>
          </c:extLst>
        </c:ser>
        <c:ser>
          <c:idx val="5"/>
          <c:order val="6"/>
          <c:tx>
            <c:strRef>
              <c:f>'Situation initiale'!$H$272</c:f>
              <c:strCache>
                <c:ptCount val="1"/>
                <c:pt idx="0">
                  <c:v>Pertes exploitation chauffage</c:v>
                </c:pt>
              </c:strCache>
            </c:strRef>
          </c:tx>
          <c:spPr>
            <a:solidFill>
              <a:schemeClr val="accent6"/>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ECD38752-F9D9-4C30-8430-139A9C89E4FB}" type="SERIESNAME">
                      <a:rPr lang="en-US" sz="1000" b="1"/>
                      <a:pPr>
                        <a:defRPr/>
                      </a:pPr>
                      <a:t>[NOM DE SÉRIE]</a:t>
                    </a:fld>
                    <a:endParaRPr lang="fr-BE"/>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BE"/>
                </a:p>
              </c:txPr>
              <c:showLegendKey val="0"/>
              <c:showVal val="0"/>
              <c:showCatName val="0"/>
              <c:showSerName val="1"/>
              <c:showPercent val="0"/>
              <c:showBubbleSize val="0"/>
              <c:extLst>
                <c:ext xmlns:c15="http://schemas.microsoft.com/office/drawing/2012/chart" uri="{CE6537A1-D6FC-4f65-9D91-7224C49458BB}">
                  <c15:layout>
                    <c:manualLayout>
                      <c:w val="0.21906933508311457"/>
                      <c:h val="0.12050908011105624"/>
                    </c:manualLayout>
                  </c15:layout>
                  <c15:dlblFieldTable/>
                  <c15:showDataLabelsRange val="0"/>
                </c:ext>
                <c:ext xmlns:c16="http://schemas.microsoft.com/office/drawing/2014/chart" uri="{C3380CC4-5D6E-409C-BE32-E72D297353CC}">
                  <c16:uniqueId val="{0000000A-CA52-4993-8C83-CEF65CFE0F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initiale'!$A$273:$A$276</c:f>
              <c:strCache>
                <c:ptCount val="2"/>
                <c:pt idx="0">
                  <c:v>pertes</c:v>
                </c:pt>
                <c:pt idx="1">
                  <c:v>gains + consommation</c:v>
                </c:pt>
              </c:strCache>
            </c:strRef>
          </c:cat>
          <c:val>
            <c:numRef>
              <c:f>'Situation initiale'!$H$273:$H$274</c:f>
              <c:numCache>
                <c:formatCode>General</c:formatCode>
                <c:ptCount val="2"/>
                <c:pt idx="0" formatCode="0">
                  <c:v>0</c:v>
                </c:pt>
              </c:numCache>
            </c:numRef>
          </c:val>
          <c:extLst>
            <c:ext xmlns:c16="http://schemas.microsoft.com/office/drawing/2014/chart" uri="{C3380CC4-5D6E-409C-BE32-E72D297353CC}">
              <c16:uniqueId val="{00000006-CA52-4993-8C83-CEF65CFE0F36}"/>
            </c:ext>
          </c:extLst>
        </c:ser>
        <c:ser>
          <c:idx val="6"/>
          <c:order val="7"/>
          <c:tx>
            <c:strRef>
              <c:f>'Situation initiale'!$E$275</c:f>
              <c:strCache>
                <c:ptCount val="1"/>
                <c:pt idx="0">
                  <c:v>Apports internes</c:v>
                </c:pt>
              </c:strCache>
            </c:strRef>
          </c:tx>
          <c:spPr>
            <a:solidFill>
              <a:schemeClr val="accent1">
                <a:lumMod val="60000"/>
              </a:schemeClr>
            </a:solidFill>
            <a:ln>
              <a:noFill/>
            </a:ln>
            <a:effectLst/>
          </c:spPr>
          <c:invertIfNegative val="0"/>
          <c:dLbls>
            <c:dLbl>
              <c:idx val="1"/>
              <c:tx>
                <c:rich>
                  <a:bodyPr/>
                  <a:lstStyle/>
                  <a:p>
                    <a:fld id="{653D3B6D-0904-4AEE-B254-19190CAEA31E}" type="SERIESNAME">
                      <a:rPr lang="en-US" sz="12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layout>
                    <c:manualLayout>
                      <c:w val="0.18987314085739285"/>
                      <c:h val="6.747321477720912E-2"/>
                    </c:manualLayout>
                  </c15:layout>
                  <c15:dlblFieldTable/>
                  <c15:showDataLabelsRange val="0"/>
                </c:ext>
                <c:ext xmlns:c16="http://schemas.microsoft.com/office/drawing/2014/chart" uri="{C3380CC4-5D6E-409C-BE32-E72D297353CC}">
                  <c16:uniqueId val="{00000011-CA52-4993-8C83-CEF65CFE0F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initiale'!$A$273:$A$276</c:f>
              <c:strCache>
                <c:ptCount val="2"/>
                <c:pt idx="0">
                  <c:v>pertes</c:v>
                </c:pt>
                <c:pt idx="1">
                  <c:v>gains + consommation</c:v>
                </c:pt>
              </c:strCache>
            </c:strRef>
          </c:cat>
          <c:val>
            <c:numRef>
              <c:f>'Situation initiale'!$E$276:$E$277</c:f>
              <c:numCache>
                <c:formatCode>0</c:formatCode>
                <c:ptCount val="2"/>
                <c:pt idx="1">
                  <c:v>0</c:v>
                </c:pt>
              </c:numCache>
            </c:numRef>
          </c:val>
          <c:extLst>
            <c:ext xmlns:c16="http://schemas.microsoft.com/office/drawing/2014/chart" uri="{C3380CC4-5D6E-409C-BE32-E72D297353CC}">
              <c16:uniqueId val="{00000007-CA52-4993-8C83-CEF65CFE0F36}"/>
            </c:ext>
          </c:extLst>
        </c:ser>
        <c:ser>
          <c:idx val="7"/>
          <c:order val="8"/>
          <c:tx>
            <c:strRef>
              <c:f>'Situation initiale'!$F$275</c:f>
              <c:strCache>
                <c:ptCount val="1"/>
                <c:pt idx="0">
                  <c:v>Apports solaires</c:v>
                </c:pt>
              </c:strCache>
            </c:strRef>
          </c:tx>
          <c:spPr>
            <a:solidFill>
              <a:schemeClr val="accent2">
                <a:lumMod val="60000"/>
              </a:schemeClr>
            </a:solidFill>
            <a:ln>
              <a:noFill/>
            </a:ln>
            <a:effectLst/>
          </c:spPr>
          <c:invertIfNegative val="0"/>
          <c:dLbls>
            <c:dLbl>
              <c:idx val="1"/>
              <c:tx>
                <c:rich>
                  <a:bodyPr/>
                  <a:lstStyle/>
                  <a:p>
                    <a:fld id="{66870178-8755-4738-918B-EA6982B5456B}" type="SERIESNAME">
                      <a:rPr lang="en-US" sz="11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layout>
                    <c:manualLayout>
                      <c:w val="0.2310417760279965"/>
                      <c:h val="6.747321477720912E-2"/>
                    </c:manualLayout>
                  </c15:layout>
                  <c15:dlblFieldTable/>
                  <c15:showDataLabelsRange val="0"/>
                </c:ext>
                <c:ext xmlns:c16="http://schemas.microsoft.com/office/drawing/2014/chart" uri="{C3380CC4-5D6E-409C-BE32-E72D297353CC}">
                  <c16:uniqueId val="{00000010-CA52-4993-8C83-CEF65CFE0F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initiale'!$A$273:$A$276</c:f>
              <c:strCache>
                <c:ptCount val="2"/>
                <c:pt idx="0">
                  <c:v>pertes</c:v>
                </c:pt>
                <c:pt idx="1">
                  <c:v>gains + consommation</c:v>
                </c:pt>
              </c:strCache>
            </c:strRef>
          </c:cat>
          <c:val>
            <c:numRef>
              <c:f>'Situation initiale'!$F$276:$F$277</c:f>
              <c:numCache>
                <c:formatCode>0</c:formatCode>
                <c:ptCount val="2"/>
                <c:pt idx="1">
                  <c:v>0</c:v>
                </c:pt>
              </c:numCache>
            </c:numRef>
          </c:val>
          <c:extLst>
            <c:ext xmlns:c16="http://schemas.microsoft.com/office/drawing/2014/chart" uri="{C3380CC4-5D6E-409C-BE32-E72D297353CC}">
              <c16:uniqueId val="{00000008-CA52-4993-8C83-CEF65CFE0F36}"/>
            </c:ext>
          </c:extLst>
        </c:ser>
        <c:ser>
          <c:idx val="8"/>
          <c:order val="9"/>
          <c:tx>
            <c:strRef>
              <c:f>'Situation initiale'!$G$275</c:f>
              <c:strCache>
                <c:ptCount val="1"/>
                <c:pt idx="0">
                  <c:v>Estimation consommations</c:v>
                </c:pt>
              </c:strCache>
            </c:strRef>
          </c:tx>
          <c:spPr>
            <a:solidFill>
              <a:schemeClr val="accent3">
                <a:lumMod val="60000"/>
              </a:schemeClr>
            </a:solidFill>
            <a:ln>
              <a:noFill/>
            </a:ln>
            <a:effectLst/>
          </c:spPr>
          <c:invertIfNegative val="0"/>
          <c:dLbls>
            <c:dLbl>
              <c:idx val="1"/>
              <c:tx>
                <c:rich>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fld id="{FBCD1AF0-182B-4DBF-B280-956902652EBB}" type="SERIESNAME">
                      <a:rPr lang="en-US" sz="1100" b="1">
                        <a:solidFill>
                          <a:schemeClr val="bg1"/>
                        </a:solidFill>
                      </a:rPr>
                      <a:pPr>
                        <a:defRPr>
                          <a:solidFill>
                            <a:schemeClr val="bg1"/>
                          </a:solidFill>
                        </a:defRPr>
                      </a:pPr>
                      <a:t>[NOM DE SÉRIE]</a:t>
                    </a:fld>
                    <a:endParaRPr lang="fr-BE"/>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fr-BE"/>
                </a:p>
              </c:txPr>
              <c:showLegendKey val="0"/>
              <c:showVal val="0"/>
              <c:showCatName val="0"/>
              <c:showSerName val="1"/>
              <c:showPercent val="0"/>
              <c:showBubbleSize val="0"/>
              <c:extLst>
                <c:ext xmlns:c15="http://schemas.microsoft.com/office/drawing/2012/chart" uri="{CE6537A1-D6FC-4f65-9D91-7224C49458BB}">
                  <c15:layout>
                    <c:manualLayout>
                      <c:w val="0.24209733158355207"/>
                      <c:h val="9.5055849874049941E-2"/>
                    </c:manualLayout>
                  </c15:layout>
                  <c15:dlblFieldTable/>
                  <c15:showDataLabelsRange val="0"/>
                </c:ext>
                <c:ext xmlns:c16="http://schemas.microsoft.com/office/drawing/2014/chart" uri="{C3380CC4-5D6E-409C-BE32-E72D297353CC}">
                  <c16:uniqueId val="{0000000F-CA52-4993-8C83-CEF65CFE0F3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initiale'!$A$273:$A$276</c:f>
              <c:strCache>
                <c:ptCount val="2"/>
                <c:pt idx="0">
                  <c:v>pertes</c:v>
                </c:pt>
                <c:pt idx="1">
                  <c:v>gains + consommation</c:v>
                </c:pt>
              </c:strCache>
            </c:strRef>
          </c:cat>
          <c:val>
            <c:numRef>
              <c:f>'Situation initiale'!$G$276:$G$277</c:f>
              <c:numCache>
                <c:formatCode>0</c:formatCode>
                <c:ptCount val="2"/>
                <c:pt idx="1">
                  <c:v>0</c:v>
                </c:pt>
              </c:numCache>
            </c:numRef>
          </c:val>
          <c:extLst>
            <c:ext xmlns:c16="http://schemas.microsoft.com/office/drawing/2014/chart" uri="{C3380CC4-5D6E-409C-BE32-E72D297353CC}">
              <c16:uniqueId val="{00000009-CA52-4993-8C83-CEF65CFE0F36}"/>
            </c:ext>
          </c:extLst>
        </c:ser>
        <c:dLbls>
          <c:showLegendKey val="0"/>
          <c:showVal val="1"/>
          <c:showCatName val="0"/>
          <c:showSerName val="0"/>
          <c:showPercent val="0"/>
          <c:showBubbleSize val="0"/>
        </c:dLbls>
        <c:gapWidth val="43"/>
        <c:overlap val="100"/>
        <c:axId val="1360244063"/>
        <c:axId val="1360244479"/>
      </c:barChart>
      <c:catAx>
        <c:axId val="1360244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60244479"/>
        <c:crosses val="autoZero"/>
        <c:auto val="1"/>
        <c:lblAlgn val="ctr"/>
        <c:lblOffset val="100"/>
        <c:noMultiLvlLbl val="0"/>
      </c:catAx>
      <c:valAx>
        <c:axId val="1360244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602440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fr-BE"/>
              <a:t>Bilan par postes en</a:t>
            </a:r>
            <a:r>
              <a:rPr lang="fr-BE" baseline="0"/>
              <a:t> situation rénovée</a:t>
            </a:r>
            <a:endParaRPr lang="fr-BE"/>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fr-BE"/>
        </a:p>
      </c:txPr>
    </c:title>
    <c:autoTitleDeleted val="0"/>
    <c:plotArea>
      <c:layout>
        <c:manualLayout>
          <c:layoutTarget val="inner"/>
          <c:xMode val="edge"/>
          <c:yMode val="edge"/>
          <c:x val="0.16100257033272497"/>
          <c:y val="0.11765857487107026"/>
          <c:w val="0.80435846689755108"/>
          <c:h val="0.8515077596218914"/>
        </c:manualLayout>
      </c:layout>
      <c:barChart>
        <c:barDir val="col"/>
        <c:grouping val="clustered"/>
        <c:varyColors val="1"/>
        <c:ser>
          <c:idx val="0"/>
          <c:order val="0"/>
          <c:invertIfNegative val="0"/>
          <c:dPt>
            <c:idx val="0"/>
            <c:invertIfNegative val="0"/>
            <c:bubble3D val="0"/>
            <c:spPr>
              <a:pattFill prst="narHorz">
                <a:fgClr>
                  <a:schemeClr val="accent1"/>
                </a:fgClr>
                <a:bgClr>
                  <a:schemeClr val="accent1">
                    <a:lumMod val="20000"/>
                    <a:lumOff val="80000"/>
                  </a:schemeClr>
                </a:bgClr>
              </a:pattFill>
              <a:ln>
                <a:noFill/>
              </a:ln>
              <a:effectLst>
                <a:innerShdw blurRad="114300">
                  <a:schemeClr val="accent1"/>
                </a:innerShdw>
              </a:effectLst>
            </c:spPr>
            <c:extLst>
              <c:ext xmlns:c16="http://schemas.microsoft.com/office/drawing/2014/chart" uri="{C3380CC4-5D6E-409C-BE32-E72D297353CC}">
                <c16:uniqueId val="{00000001-9465-45A3-AB27-76657E1450FE}"/>
              </c:ext>
            </c:extLst>
          </c:dPt>
          <c:dPt>
            <c:idx val="1"/>
            <c:invertIfNegative val="0"/>
            <c:bubble3D val="0"/>
            <c:spPr>
              <a:pattFill prst="narHorz">
                <a:fgClr>
                  <a:schemeClr val="accent2"/>
                </a:fgClr>
                <a:bgClr>
                  <a:schemeClr val="accent2">
                    <a:lumMod val="20000"/>
                    <a:lumOff val="80000"/>
                  </a:schemeClr>
                </a:bgClr>
              </a:pattFill>
              <a:ln>
                <a:noFill/>
              </a:ln>
              <a:effectLst>
                <a:innerShdw blurRad="114300">
                  <a:schemeClr val="accent2"/>
                </a:innerShdw>
              </a:effectLst>
            </c:spPr>
            <c:extLst>
              <c:ext xmlns:c16="http://schemas.microsoft.com/office/drawing/2014/chart" uri="{C3380CC4-5D6E-409C-BE32-E72D297353CC}">
                <c16:uniqueId val="{00000002-9465-45A3-AB27-76657E1450FE}"/>
              </c:ext>
            </c:extLst>
          </c:dPt>
          <c:dPt>
            <c:idx val="2"/>
            <c:invertIfNegative val="0"/>
            <c:bubble3D val="0"/>
            <c:spPr>
              <a:pattFill prst="narHorz">
                <a:fgClr>
                  <a:schemeClr val="accent3"/>
                </a:fgClr>
                <a:bgClr>
                  <a:schemeClr val="accent3">
                    <a:lumMod val="20000"/>
                    <a:lumOff val="80000"/>
                  </a:schemeClr>
                </a:bgClr>
              </a:pattFill>
              <a:ln>
                <a:noFill/>
              </a:ln>
              <a:effectLst>
                <a:innerShdw blurRad="114300">
                  <a:schemeClr val="accent3"/>
                </a:innerShdw>
              </a:effectLst>
            </c:spPr>
            <c:extLst>
              <c:ext xmlns:c16="http://schemas.microsoft.com/office/drawing/2014/chart" uri="{C3380CC4-5D6E-409C-BE32-E72D297353CC}">
                <c16:uniqueId val="{00000003-9465-45A3-AB27-76657E1450FE}"/>
              </c:ext>
            </c:extLst>
          </c:dPt>
          <c:dPt>
            <c:idx val="3"/>
            <c:invertIfNegative val="0"/>
            <c:bubble3D val="0"/>
            <c:spPr>
              <a:pattFill prst="narHorz">
                <a:fgClr>
                  <a:schemeClr val="accent4"/>
                </a:fgClr>
                <a:bgClr>
                  <a:schemeClr val="accent4">
                    <a:lumMod val="20000"/>
                    <a:lumOff val="80000"/>
                  </a:schemeClr>
                </a:bgClr>
              </a:pattFill>
              <a:ln>
                <a:noFill/>
              </a:ln>
              <a:effectLst>
                <a:innerShdw blurRad="114300">
                  <a:schemeClr val="accent4"/>
                </a:innerShdw>
              </a:effectLst>
            </c:spPr>
            <c:extLst>
              <c:ext xmlns:c16="http://schemas.microsoft.com/office/drawing/2014/chart" uri="{C3380CC4-5D6E-409C-BE32-E72D297353CC}">
                <c16:uniqueId val="{00000004-9465-45A3-AB27-76657E1450FE}"/>
              </c:ext>
            </c:extLst>
          </c:dPt>
          <c:dPt>
            <c:idx val="4"/>
            <c:invertIfNegative val="0"/>
            <c:bubble3D val="0"/>
            <c:spPr>
              <a:pattFill prst="narHorz">
                <a:fgClr>
                  <a:schemeClr val="accent5"/>
                </a:fgClr>
                <a:bgClr>
                  <a:schemeClr val="accent5">
                    <a:lumMod val="20000"/>
                    <a:lumOff val="80000"/>
                  </a:schemeClr>
                </a:bgClr>
              </a:pattFill>
              <a:ln>
                <a:noFill/>
              </a:ln>
              <a:effectLst>
                <a:innerShdw blurRad="114300">
                  <a:schemeClr val="accent5"/>
                </a:innerShdw>
              </a:effectLst>
            </c:spPr>
            <c:extLst>
              <c:ext xmlns:c16="http://schemas.microsoft.com/office/drawing/2014/chart" uri="{C3380CC4-5D6E-409C-BE32-E72D297353CC}">
                <c16:uniqueId val="{00000005-9465-45A3-AB27-76657E1450FE}"/>
              </c:ext>
            </c:extLst>
          </c:dPt>
          <c:dPt>
            <c:idx val="5"/>
            <c:invertIfNegative val="0"/>
            <c:bubble3D val="0"/>
            <c:spPr>
              <a:pattFill prst="narHorz">
                <a:fgClr>
                  <a:schemeClr val="accent6"/>
                </a:fgClr>
                <a:bgClr>
                  <a:schemeClr val="accent6">
                    <a:lumMod val="20000"/>
                    <a:lumOff val="80000"/>
                  </a:schemeClr>
                </a:bgClr>
              </a:pattFill>
              <a:ln>
                <a:noFill/>
              </a:ln>
              <a:effectLst>
                <a:innerShdw blurRad="114300">
                  <a:schemeClr val="accent6"/>
                </a:innerShdw>
              </a:effectLst>
            </c:spPr>
            <c:extLst>
              <c:ext xmlns:c16="http://schemas.microsoft.com/office/drawing/2014/chart" uri="{C3380CC4-5D6E-409C-BE32-E72D297353CC}">
                <c16:uniqueId val="{00000006-9465-45A3-AB27-76657E1450FE}"/>
              </c:ext>
            </c:extLst>
          </c:dPt>
          <c:dPt>
            <c:idx val="6"/>
            <c:invertIfNegative val="0"/>
            <c:bubble3D val="0"/>
            <c:spPr>
              <a:pattFill prst="narHorz">
                <a:fgClr>
                  <a:schemeClr val="accent1">
                    <a:lumMod val="60000"/>
                  </a:schemeClr>
                </a:fgClr>
                <a:bgClr>
                  <a:schemeClr val="accent1">
                    <a:lumMod val="60000"/>
                    <a:lumMod val="20000"/>
                    <a:lumOff val="80000"/>
                  </a:schemeClr>
                </a:bgClr>
              </a:pattFill>
              <a:ln>
                <a:noFill/>
              </a:ln>
              <a:effectLst>
                <a:innerShdw blurRad="114300">
                  <a:schemeClr val="accent1">
                    <a:lumMod val="60000"/>
                  </a:schemeClr>
                </a:innerShdw>
              </a:effectLst>
            </c:spPr>
            <c:extLst>
              <c:ext xmlns:c16="http://schemas.microsoft.com/office/drawing/2014/chart" uri="{C3380CC4-5D6E-409C-BE32-E72D297353CC}">
                <c16:uniqueId val="{00000007-9465-45A3-AB27-76657E1450FE}"/>
              </c:ext>
            </c:extLst>
          </c:dPt>
          <c:dLbls>
            <c:dLbl>
              <c:idx val="0"/>
              <c:tx>
                <c:rich>
                  <a:bodyPr/>
                  <a:lstStyle/>
                  <a:p>
                    <a:fld id="{1E1DA55D-7B93-4447-BED6-3A2F6451FB88}" type="CELLRANGE">
                      <a:rPr lang="fr-BE"/>
                      <a:pPr/>
                      <a:t>[PLAGECELL]</a:t>
                    </a:fld>
                    <a:r>
                      <a:rPr lang="fr-BE" baseline="0"/>
                      <a:t>; </a:t>
                    </a:r>
                    <a:fld id="{8C9D4628-780A-465D-B47D-860B62799628}" type="VALUE">
                      <a:rPr lang="fr-BE" baseline="0"/>
                      <a:pPr/>
                      <a:t>[VALEUR]</a:t>
                    </a:fld>
                    <a:endParaRPr lang="fr-BE"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465-45A3-AB27-76657E1450FE}"/>
                </c:ext>
              </c:extLst>
            </c:dLbl>
            <c:dLbl>
              <c:idx val="1"/>
              <c:tx>
                <c:rich>
                  <a:bodyPr/>
                  <a:lstStyle/>
                  <a:p>
                    <a:fld id="{266BD999-2AC1-4C12-B7CC-8D24CC62CFC2}" type="CELLRANGE">
                      <a:rPr lang="fr-BE"/>
                      <a:pPr/>
                      <a:t>[PLAGECELL]</a:t>
                    </a:fld>
                    <a:r>
                      <a:rPr lang="fr-BE" baseline="0"/>
                      <a:t>; </a:t>
                    </a:r>
                    <a:fld id="{ED4B02D6-7664-4123-AE8E-878B37B8D730}" type="VALUE">
                      <a:rPr lang="fr-BE" baseline="0"/>
                      <a:pPr/>
                      <a:t>[VALEUR]</a:t>
                    </a:fld>
                    <a:endParaRPr lang="fr-BE"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465-45A3-AB27-76657E1450FE}"/>
                </c:ext>
              </c:extLst>
            </c:dLbl>
            <c:dLbl>
              <c:idx val="2"/>
              <c:tx>
                <c:rich>
                  <a:bodyPr/>
                  <a:lstStyle/>
                  <a:p>
                    <a:fld id="{81A2077C-D57D-4C8B-992E-A01FA5BF2279}" type="CELLRANGE">
                      <a:rPr lang="fr-BE"/>
                      <a:pPr/>
                      <a:t>[PLAGECELL]</a:t>
                    </a:fld>
                    <a:r>
                      <a:rPr lang="fr-BE" baseline="0"/>
                      <a:t>; </a:t>
                    </a:r>
                    <a:fld id="{2ED36135-003E-4397-80B4-B6402FD43A3A}" type="VALUE">
                      <a:rPr lang="fr-BE" baseline="0"/>
                      <a:pPr/>
                      <a:t>[VALEUR]</a:t>
                    </a:fld>
                    <a:endParaRPr lang="fr-BE"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465-45A3-AB27-76657E1450FE}"/>
                </c:ext>
              </c:extLst>
            </c:dLbl>
            <c:dLbl>
              <c:idx val="3"/>
              <c:tx>
                <c:rich>
                  <a:bodyPr/>
                  <a:lstStyle/>
                  <a:p>
                    <a:fld id="{D8A4092E-13D4-4ACE-9ABF-CD7146C945C3}" type="CELLRANGE">
                      <a:rPr lang="fr-BE"/>
                      <a:pPr/>
                      <a:t>[PLAGECELL]</a:t>
                    </a:fld>
                    <a:r>
                      <a:rPr lang="fr-BE" baseline="0"/>
                      <a:t>; </a:t>
                    </a:r>
                    <a:fld id="{FE0044F7-4FBB-4DB5-9813-2A5259436F34}" type="VALUE">
                      <a:rPr lang="fr-BE" baseline="0"/>
                      <a:pPr/>
                      <a:t>[VALEUR]</a:t>
                    </a:fld>
                    <a:endParaRPr lang="fr-BE"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465-45A3-AB27-76657E1450FE}"/>
                </c:ext>
              </c:extLst>
            </c:dLbl>
            <c:dLbl>
              <c:idx val="4"/>
              <c:tx>
                <c:rich>
                  <a:bodyPr/>
                  <a:lstStyle/>
                  <a:p>
                    <a:fld id="{F6092D52-F140-4EE1-AF93-3DEC786909F0}" type="CELLRANGE">
                      <a:rPr lang="fr-BE"/>
                      <a:pPr/>
                      <a:t>[PLAGECELL]</a:t>
                    </a:fld>
                    <a:r>
                      <a:rPr lang="fr-BE" baseline="0"/>
                      <a:t>; </a:t>
                    </a:r>
                    <a:fld id="{A2F41346-A6D6-4D19-AB06-D9A5F4808A0B}" type="VALUE">
                      <a:rPr lang="fr-BE" baseline="0"/>
                      <a:pPr/>
                      <a:t>[VALEUR]</a:t>
                    </a:fld>
                    <a:endParaRPr lang="fr-BE"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465-45A3-AB27-76657E1450FE}"/>
                </c:ext>
              </c:extLst>
            </c:dLbl>
            <c:dLbl>
              <c:idx val="5"/>
              <c:tx>
                <c:rich>
                  <a:bodyPr/>
                  <a:lstStyle/>
                  <a:p>
                    <a:fld id="{301DA1BC-40F0-4D93-99C0-03C9DE365CBD}" type="CELLRANGE">
                      <a:rPr lang="fr-BE"/>
                      <a:pPr/>
                      <a:t>[PLAGECELL]</a:t>
                    </a:fld>
                    <a:r>
                      <a:rPr lang="fr-BE" baseline="0"/>
                      <a:t>; </a:t>
                    </a:r>
                    <a:fld id="{ED055A40-5FCC-4E58-A9C0-80852E3ED01E}" type="VALUE">
                      <a:rPr lang="fr-BE" baseline="0"/>
                      <a:pPr/>
                      <a:t>[VALEUR]</a:t>
                    </a:fld>
                    <a:endParaRPr lang="fr-BE"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465-45A3-AB27-76657E1450FE}"/>
                </c:ext>
              </c:extLst>
            </c:dLbl>
            <c:dLbl>
              <c:idx val="6"/>
              <c:tx>
                <c:rich>
                  <a:bodyPr/>
                  <a:lstStyle/>
                  <a:p>
                    <a:fld id="{E653C7C5-2B6D-4141-8B6F-221EC70B0B0B}" type="CELLRANGE">
                      <a:rPr lang="fr-BE"/>
                      <a:pPr/>
                      <a:t>[PLAGECELL]</a:t>
                    </a:fld>
                    <a:r>
                      <a:rPr lang="fr-BE" baseline="0"/>
                      <a:t>; </a:t>
                    </a:r>
                    <a:fld id="{C19CB1AF-2269-4605-B371-98A27142AB07}" type="VALUE">
                      <a:rPr lang="fr-BE" baseline="0"/>
                      <a:pPr/>
                      <a:t>[VALEUR]</a:t>
                    </a:fld>
                    <a:endParaRPr lang="fr-BE" baseline="0"/>
                  </a:p>
                </c:rich>
              </c:tx>
              <c:showLegendKey val="0"/>
              <c:showVal val="1"/>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465-45A3-AB27-76657E1450F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a:solidFill>
                        <a:schemeClr val="tx1">
                          <a:lumMod val="35000"/>
                          <a:lumOff val="65000"/>
                        </a:schemeClr>
                      </a:solidFill>
                    </a:ln>
                    <a:effectLst/>
                  </c:spPr>
                </c15:leaderLines>
              </c:ext>
            </c:extLst>
          </c:dLbls>
          <c:cat>
            <c:strRef>
              <c:f>('Situation rénovée'!$C$209:$C$214,'Situation rénovée'!$C$224)</c:f>
              <c:strCache>
                <c:ptCount val="7"/>
                <c:pt idx="0">
                  <c:v>Toiture </c:v>
                </c:pt>
                <c:pt idx="1">
                  <c:v>Murs</c:v>
                </c:pt>
                <c:pt idx="2">
                  <c:v>Vitrages - portes</c:v>
                </c:pt>
                <c:pt idx="3">
                  <c:v>Planchers</c:v>
                </c:pt>
                <c:pt idx="4">
                  <c:v>Nœuds constructifs</c:v>
                </c:pt>
                <c:pt idx="5">
                  <c:v>Déperditions aérauliques</c:v>
                </c:pt>
                <c:pt idx="6">
                  <c:v>Pertes exploitation chauffage</c:v>
                </c:pt>
              </c:strCache>
            </c:strRef>
          </c:cat>
          <c:val>
            <c:numRef>
              <c:f>('Situation rénovée'!$H$209:$H$214,'Situation rénovée'!$H$224)</c:f>
              <c:numCache>
                <c:formatCode>#,##0</c:formatCode>
                <c:ptCount val="7"/>
                <c:pt idx="0">
                  <c:v>0</c:v>
                </c:pt>
                <c:pt idx="1">
                  <c:v>0</c:v>
                </c:pt>
                <c:pt idx="2">
                  <c:v>0</c:v>
                </c:pt>
                <c:pt idx="3">
                  <c:v>0</c:v>
                </c:pt>
                <c:pt idx="4">
                  <c:v>0</c:v>
                </c:pt>
                <c:pt idx="5">
                  <c:v>0</c:v>
                </c:pt>
                <c:pt idx="6">
                  <c:v>0</c:v>
                </c:pt>
              </c:numCache>
            </c:numRef>
          </c:val>
          <c:extLst>
            <c:ext xmlns:c15="http://schemas.microsoft.com/office/drawing/2012/chart" uri="{02D57815-91ED-43cb-92C2-25804820EDAC}">
              <c15:datalabelsRange>
                <c15:f>('Situation rénovée'!$G$209:$G$214,'Situation rénovée'!$G$224)</c15:f>
                <c15:dlblRangeCache>
                  <c:ptCount val="7"/>
                  <c:pt idx="0">
                    <c:v>#DIV/0!</c:v>
                  </c:pt>
                  <c:pt idx="1">
                    <c:v>#DIV/0!</c:v>
                  </c:pt>
                  <c:pt idx="2">
                    <c:v>#DIV/0!</c:v>
                  </c:pt>
                  <c:pt idx="3">
                    <c:v>#DIV/0!</c:v>
                  </c:pt>
                  <c:pt idx="4">
                    <c:v>#DIV/0!</c:v>
                  </c:pt>
                  <c:pt idx="5">
                    <c:v>#DIV/0!</c:v>
                  </c:pt>
                  <c:pt idx="6">
                    <c:v>#DIV/0!</c:v>
                  </c:pt>
                </c15:dlblRangeCache>
              </c15:datalabelsRange>
            </c:ext>
            <c:ext xmlns:c16="http://schemas.microsoft.com/office/drawing/2014/chart" uri="{C3380CC4-5D6E-409C-BE32-E72D297353CC}">
              <c16:uniqueId val="{00000000-9465-45A3-AB27-76657E1450FE}"/>
            </c:ext>
          </c:extLst>
        </c:ser>
        <c:dLbls>
          <c:showLegendKey val="0"/>
          <c:showVal val="1"/>
          <c:showCatName val="0"/>
          <c:showSerName val="0"/>
          <c:showPercent val="0"/>
          <c:showBubbleSize val="0"/>
        </c:dLbls>
        <c:gapWidth val="164"/>
        <c:overlap val="-22"/>
        <c:axId val="1096523487"/>
        <c:axId val="1712689999"/>
      </c:barChart>
      <c:catAx>
        <c:axId val="1096523487"/>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712689999"/>
        <c:crosses val="autoZero"/>
        <c:auto val="1"/>
        <c:lblAlgn val="ctr"/>
        <c:lblOffset val="100"/>
        <c:noMultiLvlLbl val="0"/>
      </c:catAx>
      <c:valAx>
        <c:axId val="1712689999"/>
        <c:scaling>
          <c:orientation val="minMax"/>
        </c:scaling>
        <c:delete val="0"/>
        <c:axPos val="l"/>
        <c:majorGridlines>
          <c:spPr>
            <a:ln>
              <a:solidFill>
                <a:schemeClr val="tx1">
                  <a:lumMod val="15000"/>
                  <a:lumOff val="85000"/>
                </a:schemeClr>
              </a:solidFill>
            </a:ln>
            <a:effectLst/>
          </c:spPr>
        </c:majorGridlines>
        <c:title>
          <c:tx>
            <c:rich>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r>
                  <a:rPr lang="fr-BE"/>
                  <a:t>Pertes-gains</a:t>
                </a:r>
                <a:r>
                  <a:rPr lang="fr-BE" baseline="0"/>
                  <a:t> (kWh)</a:t>
                </a:r>
                <a:endParaRPr lang="fr-BE"/>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fr-BE"/>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09652348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r>
              <a:rPr lang="fr-BE"/>
              <a:t>Comparaison du bilan énergétique entre la situation initiale et la situation rénovée (kWh)</a:t>
            </a:r>
          </a:p>
        </c:rich>
      </c:tx>
      <c:overlay val="0"/>
      <c:spPr>
        <a:noFill/>
        <a:ln>
          <a:noFill/>
        </a:ln>
        <a:effectLst/>
      </c:spPr>
      <c:txPr>
        <a:bodyPr rot="0" spcFirstLastPara="1" vertOverflow="ellipsis" vert="horz" wrap="square" anchor="ctr" anchorCtr="1"/>
        <a:lstStyle/>
        <a:p>
          <a:pPr>
            <a:defRPr sz="144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'Situation rénovée'!$B$255</c:f>
              <c:strCache>
                <c:ptCount val="1"/>
                <c:pt idx="0">
                  <c:v>Toiture </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rénovée'!$B$256:$B$259</c:f>
              <c:numCache>
                <c:formatCode>General</c:formatCode>
                <c:ptCount val="4"/>
                <c:pt idx="0" formatCode="0">
                  <c:v>0</c:v>
                </c:pt>
                <c:pt idx="2" formatCode="0">
                  <c:v>0</c:v>
                </c:pt>
              </c:numCache>
            </c:numRef>
          </c:val>
          <c:extLst>
            <c:ext xmlns:c16="http://schemas.microsoft.com/office/drawing/2014/chart" uri="{C3380CC4-5D6E-409C-BE32-E72D297353CC}">
              <c16:uniqueId val="{00000000-D5B9-4DC3-8756-C595C4E8F4A8}"/>
            </c:ext>
          </c:extLst>
        </c:ser>
        <c:ser>
          <c:idx val="1"/>
          <c:order val="1"/>
          <c:tx>
            <c:strRef>
              <c:f>'Situation rénovée'!$C$255</c:f>
              <c:strCache>
                <c:ptCount val="1"/>
                <c:pt idx="0">
                  <c:v>Murs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rénovée'!$C$256:$C$259</c:f>
              <c:numCache>
                <c:formatCode>General</c:formatCode>
                <c:ptCount val="4"/>
                <c:pt idx="0" formatCode="0">
                  <c:v>0</c:v>
                </c:pt>
                <c:pt idx="2" formatCode="0">
                  <c:v>0</c:v>
                </c:pt>
              </c:numCache>
            </c:numRef>
          </c:val>
          <c:extLst>
            <c:ext xmlns:c16="http://schemas.microsoft.com/office/drawing/2014/chart" uri="{C3380CC4-5D6E-409C-BE32-E72D297353CC}">
              <c16:uniqueId val="{00000001-D5B9-4DC3-8756-C595C4E8F4A8}"/>
            </c:ext>
          </c:extLst>
        </c:ser>
        <c:ser>
          <c:idx val="2"/>
          <c:order val="2"/>
          <c:tx>
            <c:strRef>
              <c:f>'Situation rénovée'!$D$255</c:f>
              <c:strCache>
                <c:ptCount val="1"/>
                <c:pt idx="0">
                  <c:v>Vitrages - portes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rénovée'!$D$256:$D$259</c:f>
              <c:numCache>
                <c:formatCode>General</c:formatCode>
                <c:ptCount val="4"/>
                <c:pt idx="0" formatCode="0">
                  <c:v>0</c:v>
                </c:pt>
                <c:pt idx="2" formatCode="0">
                  <c:v>0</c:v>
                </c:pt>
              </c:numCache>
            </c:numRef>
          </c:val>
          <c:extLst>
            <c:ext xmlns:c16="http://schemas.microsoft.com/office/drawing/2014/chart" uri="{C3380CC4-5D6E-409C-BE32-E72D297353CC}">
              <c16:uniqueId val="{00000002-D5B9-4DC3-8756-C595C4E8F4A8}"/>
            </c:ext>
          </c:extLst>
        </c:ser>
        <c:ser>
          <c:idx val="3"/>
          <c:order val="3"/>
          <c:tx>
            <c:strRef>
              <c:f>'Situation rénovée'!$E$255</c:f>
              <c:strCache>
                <c:ptCount val="1"/>
                <c:pt idx="0">
                  <c:v>Planchers</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rénovée'!$E$256:$E$259</c:f>
              <c:numCache>
                <c:formatCode>General</c:formatCode>
                <c:ptCount val="4"/>
                <c:pt idx="0" formatCode="0">
                  <c:v>0</c:v>
                </c:pt>
                <c:pt idx="2" formatCode="0">
                  <c:v>0</c:v>
                </c:pt>
              </c:numCache>
            </c:numRef>
          </c:val>
          <c:extLst>
            <c:ext xmlns:c16="http://schemas.microsoft.com/office/drawing/2014/chart" uri="{C3380CC4-5D6E-409C-BE32-E72D297353CC}">
              <c16:uniqueId val="{00000003-D5B9-4DC3-8756-C595C4E8F4A8}"/>
            </c:ext>
          </c:extLst>
        </c:ser>
        <c:ser>
          <c:idx val="4"/>
          <c:order val="4"/>
          <c:tx>
            <c:strRef>
              <c:f>'Situation rénovée'!$F$255</c:f>
              <c:strCache>
                <c:ptCount val="1"/>
                <c:pt idx="0">
                  <c:v>Nœuds constructifs</c:v>
                </c:pt>
              </c:strCache>
            </c:strRef>
          </c:tx>
          <c:spPr>
            <a:solidFill>
              <a:schemeClr val="accent5"/>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rénovée'!$F$256:$F$259</c:f>
              <c:numCache>
                <c:formatCode>General</c:formatCode>
                <c:ptCount val="4"/>
                <c:pt idx="0" formatCode="0">
                  <c:v>0</c:v>
                </c:pt>
                <c:pt idx="2" formatCode="0">
                  <c:v>0</c:v>
                </c:pt>
              </c:numCache>
            </c:numRef>
          </c:val>
          <c:extLst>
            <c:ext xmlns:c16="http://schemas.microsoft.com/office/drawing/2014/chart" uri="{C3380CC4-5D6E-409C-BE32-E72D297353CC}">
              <c16:uniqueId val="{00000004-D5B9-4DC3-8756-C595C4E8F4A8}"/>
            </c:ext>
          </c:extLst>
        </c:ser>
        <c:ser>
          <c:idx val="5"/>
          <c:order val="5"/>
          <c:tx>
            <c:strRef>
              <c:f>'Situation rénovée'!$G$255</c:f>
              <c:strCache>
                <c:ptCount val="1"/>
                <c:pt idx="0">
                  <c:v>Déperditions aérauliques</c:v>
                </c:pt>
              </c:strCache>
            </c:strRef>
          </c:tx>
          <c:spPr>
            <a:solidFill>
              <a:schemeClr val="accent6"/>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rénovée'!$G$256:$G$259</c:f>
              <c:numCache>
                <c:formatCode>General</c:formatCode>
                <c:ptCount val="4"/>
                <c:pt idx="0" formatCode="0">
                  <c:v>0</c:v>
                </c:pt>
                <c:pt idx="2" formatCode="0">
                  <c:v>0</c:v>
                </c:pt>
              </c:numCache>
            </c:numRef>
          </c:val>
          <c:extLst>
            <c:ext xmlns:c16="http://schemas.microsoft.com/office/drawing/2014/chart" uri="{C3380CC4-5D6E-409C-BE32-E72D297353CC}">
              <c16:uniqueId val="{00000005-D5B9-4DC3-8756-C595C4E8F4A8}"/>
            </c:ext>
          </c:extLst>
        </c:ser>
        <c:ser>
          <c:idx val="6"/>
          <c:order val="6"/>
          <c:tx>
            <c:strRef>
              <c:f>'Situation rénovée'!$H$255</c:f>
              <c:strCache>
                <c:ptCount val="1"/>
                <c:pt idx="0">
                  <c:v>Pertes exploitation chauffage</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rénovée'!$H$256:$H$259</c:f>
              <c:numCache>
                <c:formatCode>General</c:formatCode>
                <c:ptCount val="4"/>
                <c:pt idx="0" formatCode="0">
                  <c:v>0</c:v>
                </c:pt>
                <c:pt idx="2" formatCode="0">
                  <c:v>0</c:v>
                </c:pt>
              </c:numCache>
            </c:numRef>
          </c:val>
          <c:extLst>
            <c:ext xmlns:c16="http://schemas.microsoft.com/office/drawing/2014/chart" uri="{C3380CC4-5D6E-409C-BE32-E72D297353CC}">
              <c16:uniqueId val="{00000006-D5B9-4DC3-8756-C595C4E8F4A8}"/>
            </c:ext>
          </c:extLst>
        </c:ser>
        <c:ser>
          <c:idx val="7"/>
          <c:order val="7"/>
          <c:tx>
            <c:strRef>
              <c:f>'Situation rénovée'!$I$255</c:f>
              <c:strCache>
                <c:ptCount val="1"/>
                <c:pt idx="0">
                  <c:v>Apports internes</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rénovée'!$I$256:$I$259</c:f>
              <c:numCache>
                <c:formatCode>0</c:formatCode>
                <c:ptCount val="4"/>
                <c:pt idx="1">
                  <c:v>0</c:v>
                </c:pt>
                <c:pt idx="3">
                  <c:v>0</c:v>
                </c:pt>
              </c:numCache>
            </c:numRef>
          </c:val>
          <c:extLst>
            <c:ext xmlns:c16="http://schemas.microsoft.com/office/drawing/2014/chart" uri="{C3380CC4-5D6E-409C-BE32-E72D297353CC}">
              <c16:uniqueId val="{00000007-D5B9-4DC3-8756-C595C4E8F4A8}"/>
            </c:ext>
          </c:extLst>
        </c:ser>
        <c:ser>
          <c:idx val="8"/>
          <c:order val="8"/>
          <c:tx>
            <c:strRef>
              <c:f>'Situation rénovée'!$J$255</c:f>
              <c:strCache>
                <c:ptCount val="1"/>
                <c:pt idx="0">
                  <c:v>Apports solaires</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rénovée'!$J$256:$J$259</c:f>
              <c:numCache>
                <c:formatCode>0</c:formatCode>
                <c:ptCount val="4"/>
                <c:pt idx="1">
                  <c:v>0</c:v>
                </c:pt>
                <c:pt idx="3">
                  <c:v>0</c:v>
                </c:pt>
              </c:numCache>
            </c:numRef>
          </c:val>
          <c:extLst>
            <c:ext xmlns:c16="http://schemas.microsoft.com/office/drawing/2014/chart" uri="{C3380CC4-5D6E-409C-BE32-E72D297353CC}">
              <c16:uniqueId val="{00000008-D5B9-4DC3-8756-C595C4E8F4A8}"/>
            </c:ext>
          </c:extLst>
        </c:ser>
        <c:ser>
          <c:idx val="9"/>
          <c:order val="9"/>
          <c:tx>
            <c:strRef>
              <c:f>'Situation rénovée'!$K$255</c:f>
              <c:strCache>
                <c:ptCount val="1"/>
                <c:pt idx="0">
                  <c:v>Estimation consommations</c:v>
                </c:pt>
              </c:strCache>
            </c:strRef>
          </c:tx>
          <c:spPr>
            <a:solidFill>
              <a:schemeClr val="accent4">
                <a:lumMod val="60000"/>
              </a:schemeClr>
            </a:solidFill>
            <a:ln>
              <a:noFill/>
            </a:ln>
            <a:effectLst/>
          </c:spPr>
          <c:invertIfNegative val="0"/>
          <c:dLbls>
            <c:dLbl>
              <c:idx val="1"/>
              <c:showLegendKey val="0"/>
              <c:showVal val="0"/>
              <c:showCatName val="0"/>
              <c:showSerName val="1"/>
              <c:showPercent val="0"/>
              <c:showBubbleSize val="0"/>
              <c:extLst>
                <c:ext xmlns:c15="http://schemas.microsoft.com/office/drawing/2012/chart" uri="{CE6537A1-D6FC-4f65-9D91-7224C49458BB}">
                  <c15:layout>
                    <c:manualLayout>
                      <c:w val="8.3632067652946576E-2"/>
                      <c:h val="8.9029714151911091E-2"/>
                    </c:manualLayout>
                  </c15:layout>
                </c:ext>
                <c:ext xmlns:c16="http://schemas.microsoft.com/office/drawing/2014/chart" uri="{C3380CC4-5D6E-409C-BE32-E72D297353CC}">
                  <c16:uniqueId val="{0000000D-D5B9-4DC3-8756-C595C4E8F4A8}"/>
                </c:ext>
              </c:extLst>
            </c:dLbl>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rénovée'!$K$256:$K$259</c:f>
              <c:numCache>
                <c:formatCode>0</c:formatCode>
                <c:ptCount val="4"/>
                <c:pt idx="1">
                  <c:v>0</c:v>
                </c:pt>
                <c:pt idx="3">
                  <c:v>0</c:v>
                </c:pt>
              </c:numCache>
            </c:numRef>
          </c:val>
          <c:extLst>
            <c:ext xmlns:c16="http://schemas.microsoft.com/office/drawing/2014/chart" uri="{C3380CC4-5D6E-409C-BE32-E72D297353CC}">
              <c16:uniqueId val="{00000009-D5B9-4DC3-8756-C595C4E8F4A8}"/>
            </c:ext>
          </c:extLst>
        </c:ser>
        <c:ser>
          <c:idx val="10"/>
          <c:order val="10"/>
          <c:tx>
            <c:strRef>
              <c:f>'Situation rénovée'!$M$255</c:f>
              <c:strCache>
                <c:ptCount val="1"/>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rénovée'!$A$256:$A$259</c:f>
              <c:strCache>
                <c:ptCount val="4"/>
                <c:pt idx="0">
                  <c:v>Pertes en situation initiale</c:v>
                </c:pt>
                <c:pt idx="1">
                  <c:v>Gains + consommation en situation initiale</c:v>
                </c:pt>
                <c:pt idx="2">
                  <c:v>Pertes en situation rénovée</c:v>
                </c:pt>
                <c:pt idx="3">
                  <c:v>Gains + consommation en situation rénovée</c:v>
                </c:pt>
              </c:strCache>
            </c:strRef>
          </c:cat>
          <c:val>
            <c:numRef>
              <c:f>'Situation rénovée'!$M$256:$M$259</c:f>
            </c:numRef>
          </c:val>
          <c:extLst>
            <c:ext xmlns:c16="http://schemas.microsoft.com/office/drawing/2014/chart" uri="{C3380CC4-5D6E-409C-BE32-E72D297353CC}">
              <c16:uniqueId val="{0000000A-D5B9-4DC3-8756-C595C4E8F4A8}"/>
            </c:ext>
          </c:extLst>
        </c:ser>
        <c:dLbls>
          <c:showLegendKey val="0"/>
          <c:showVal val="1"/>
          <c:showCatName val="0"/>
          <c:showSerName val="0"/>
          <c:showPercent val="0"/>
          <c:showBubbleSize val="0"/>
        </c:dLbls>
        <c:gapWidth val="150"/>
        <c:overlap val="100"/>
        <c:axId val="1596458527"/>
        <c:axId val="1089156687"/>
      </c:barChart>
      <c:catAx>
        <c:axId val="15964585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089156687"/>
        <c:crosses val="autoZero"/>
        <c:auto val="1"/>
        <c:lblAlgn val="ctr"/>
        <c:lblOffset val="100"/>
        <c:noMultiLvlLbl val="0"/>
      </c:catAx>
      <c:valAx>
        <c:axId val="10891566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5964585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Comparaison bilan CO2 entre la</a:t>
            </a:r>
            <a:r>
              <a:rPr lang="fr-BE" baseline="0"/>
              <a:t> situation initiale et la situation rénovée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'Situation rénovée'!$C$372</c:f>
              <c:strCache>
                <c:ptCount val="1"/>
                <c:pt idx="0">
                  <c:v>Combustible</c:v>
                </c:pt>
              </c:strCache>
            </c:strRef>
          </c:tx>
          <c:spPr>
            <a:solidFill>
              <a:schemeClr val="accent1"/>
            </a:solidFill>
            <a:ln>
              <a:noFill/>
            </a:ln>
            <a:effectLst/>
          </c:spPr>
          <c:invertIfNegative val="0"/>
          <c:cat>
            <c:strRef>
              <c:f>'Situation rénovée'!$B$373:$B$376</c:f>
              <c:strCache>
                <c:ptCount val="4"/>
                <c:pt idx="0">
                  <c:v>Sources émission CO2 en situation initiale</c:v>
                </c:pt>
                <c:pt idx="1">
                  <c:v>Compensation CO2 en situation initiale</c:v>
                </c:pt>
                <c:pt idx="2">
                  <c:v>Sources émission CO2 en situation rénovée</c:v>
                </c:pt>
                <c:pt idx="3">
                  <c:v>Compensation CO2 en situation rénovée</c:v>
                </c:pt>
              </c:strCache>
            </c:strRef>
          </c:cat>
          <c:val>
            <c:numRef>
              <c:f>'Situation rénovée'!$C$373:$C$376</c:f>
              <c:numCache>
                <c:formatCode>General</c:formatCode>
                <c:ptCount val="4"/>
                <c:pt idx="0" formatCode="#,##0">
                  <c:v>0</c:v>
                </c:pt>
                <c:pt idx="2" formatCode="#,##0">
                  <c:v>0</c:v>
                </c:pt>
              </c:numCache>
            </c:numRef>
          </c:val>
          <c:extLst>
            <c:ext xmlns:c16="http://schemas.microsoft.com/office/drawing/2014/chart" uri="{C3380CC4-5D6E-409C-BE32-E72D297353CC}">
              <c16:uniqueId val="{00000000-7CE7-48D2-A3B5-E43B57A3B372}"/>
            </c:ext>
          </c:extLst>
        </c:ser>
        <c:ser>
          <c:idx val="1"/>
          <c:order val="1"/>
          <c:tx>
            <c:strRef>
              <c:f>'Situation rénovée'!$D$372</c:f>
              <c:strCache>
                <c:ptCount val="1"/>
                <c:pt idx="0">
                  <c:v>Consos électriques initiales</c:v>
                </c:pt>
              </c:strCache>
            </c:strRef>
          </c:tx>
          <c:spPr>
            <a:solidFill>
              <a:schemeClr val="accent2"/>
            </a:solidFill>
            <a:ln>
              <a:noFill/>
            </a:ln>
            <a:effectLst/>
          </c:spPr>
          <c:invertIfNegative val="0"/>
          <c:cat>
            <c:strRef>
              <c:f>'Situation rénovée'!$B$373:$B$376</c:f>
              <c:strCache>
                <c:ptCount val="4"/>
                <c:pt idx="0">
                  <c:v>Sources émission CO2 en situation initiale</c:v>
                </c:pt>
                <c:pt idx="1">
                  <c:v>Compensation CO2 en situation initiale</c:v>
                </c:pt>
                <c:pt idx="2">
                  <c:v>Sources émission CO2 en situation rénovée</c:v>
                </c:pt>
                <c:pt idx="3">
                  <c:v>Compensation CO2 en situation rénovée</c:v>
                </c:pt>
              </c:strCache>
            </c:strRef>
          </c:cat>
          <c:val>
            <c:numRef>
              <c:f>'Situation rénovée'!$D$373:$D$376</c:f>
              <c:numCache>
                <c:formatCode>General</c:formatCode>
                <c:ptCount val="4"/>
                <c:pt idx="0" formatCode="#,##0">
                  <c:v>0</c:v>
                </c:pt>
                <c:pt idx="2" formatCode="#,##0">
                  <c:v>0</c:v>
                </c:pt>
              </c:numCache>
            </c:numRef>
          </c:val>
          <c:extLst>
            <c:ext xmlns:c16="http://schemas.microsoft.com/office/drawing/2014/chart" uri="{C3380CC4-5D6E-409C-BE32-E72D297353CC}">
              <c16:uniqueId val="{00000001-7CE7-48D2-A3B5-E43B57A3B372}"/>
            </c:ext>
          </c:extLst>
        </c:ser>
        <c:ser>
          <c:idx val="2"/>
          <c:order val="2"/>
          <c:tx>
            <c:strRef>
              <c:f>'Situation rénovée'!$E$372</c:f>
              <c:strCache>
                <c:ptCount val="1"/>
                <c:pt idx="0">
                  <c:v>Passage à l'électricité verte</c:v>
                </c:pt>
              </c:strCache>
            </c:strRef>
          </c:tx>
          <c:spPr>
            <a:solidFill>
              <a:schemeClr val="accent3"/>
            </a:solidFill>
            <a:ln>
              <a:noFill/>
            </a:ln>
            <a:effectLst/>
          </c:spPr>
          <c:invertIfNegative val="0"/>
          <c:cat>
            <c:strRef>
              <c:f>'Situation rénovée'!$B$373:$B$376</c:f>
              <c:strCache>
                <c:ptCount val="4"/>
                <c:pt idx="0">
                  <c:v>Sources émission CO2 en situation initiale</c:v>
                </c:pt>
                <c:pt idx="1">
                  <c:v>Compensation CO2 en situation initiale</c:v>
                </c:pt>
                <c:pt idx="2">
                  <c:v>Sources émission CO2 en situation rénovée</c:v>
                </c:pt>
                <c:pt idx="3">
                  <c:v>Compensation CO2 en situation rénovée</c:v>
                </c:pt>
              </c:strCache>
            </c:strRef>
          </c:cat>
          <c:val>
            <c:numRef>
              <c:f>'Situation rénovée'!$E$373:$E$376</c:f>
              <c:numCache>
                <c:formatCode>General</c:formatCode>
                <c:ptCount val="4"/>
                <c:pt idx="3">
                  <c:v>0</c:v>
                </c:pt>
              </c:numCache>
            </c:numRef>
          </c:val>
          <c:extLst>
            <c:ext xmlns:c16="http://schemas.microsoft.com/office/drawing/2014/chart" uri="{C3380CC4-5D6E-409C-BE32-E72D297353CC}">
              <c16:uniqueId val="{00000002-7CE7-48D2-A3B5-E43B57A3B372}"/>
            </c:ext>
          </c:extLst>
        </c:ser>
        <c:ser>
          <c:idx val="3"/>
          <c:order val="3"/>
          <c:tx>
            <c:strRef>
              <c:f>'Situation rénovée'!$F$372</c:f>
              <c:strCache>
                <c:ptCount val="1"/>
                <c:pt idx="0">
                  <c:v>Production renouvelable</c:v>
                </c:pt>
              </c:strCache>
            </c:strRef>
          </c:tx>
          <c:spPr>
            <a:solidFill>
              <a:schemeClr val="accent4"/>
            </a:solidFill>
            <a:ln>
              <a:noFill/>
            </a:ln>
            <a:effectLst/>
          </c:spPr>
          <c:invertIfNegative val="0"/>
          <c:cat>
            <c:strRef>
              <c:f>'Situation rénovée'!$B$373:$B$376</c:f>
              <c:strCache>
                <c:ptCount val="4"/>
                <c:pt idx="0">
                  <c:v>Sources émission CO2 en situation initiale</c:v>
                </c:pt>
                <c:pt idx="1">
                  <c:v>Compensation CO2 en situation initiale</c:v>
                </c:pt>
                <c:pt idx="2">
                  <c:v>Sources émission CO2 en situation rénovée</c:v>
                </c:pt>
                <c:pt idx="3">
                  <c:v>Compensation CO2 en situation rénovée</c:v>
                </c:pt>
              </c:strCache>
            </c:strRef>
          </c:cat>
          <c:val>
            <c:numRef>
              <c:f>'Situation rénovée'!$F$373:$F$376</c:f>
              <c:numCache>
                <c:formatCode>#,##0</c:formatCode>
                <c:ptCount val="4"/>
                <c:pt idx="1">
                  <c:v>0</c:v>
                </c:pt>
                <c:pt idx="3">
                  <c:v>0</c:v>
                </c:pt>
              </c:numCache>
            </c:numRef>
          </c:val>
          <c:extLst>
            <c:ext xmlns:c16="http://schemas.microsoft.com/office/drawing/2014/chart" uri="{C3380CC4-5D6E-409C-BE32-E72D297353CC}">
              <c16:uniqueId val="{00000003-7CE7-48D2-A3B5-E43B57A3B372}"/>
            </c:ext>
          </c:extLst>
        </c:ser>
        <c:dLbls>
          <c:showLegendKey val="0"/>
          <c:showVal val="0"/>
          <c:showCatName val="0"/>
          <c:showSerName val="0"/>
          <c:showPercent val="0"/>
          <c:showBubbleSize val="0"/>
        </c:dLbls>
        <c:gapWidth val="150"/>
        <c:overlap val="100"/>
        <c:axId val="2030256735"/>
        <c:axId val="1669947055"/>
      </c:barChart>
      <c:catAx>
        <c:axId val="20302567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69947055"/>
        <c:crosses val="autoZero"/>
        <c:auto val="1"/>
        <c:lblAlgn val="ctr"/>
        <c:lblOffset val="100"/>
        <c:noMultiLvlLbl val="0"/>
      </c:catAx>
      <c:valAx>
        <c:axId val="16699470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20302567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800" b="0" i="0" baseline="0">
                <a:effectLst/>
              </a:rPr>
              <a:t>Bilan par postes (pertes-gains)</a:t>
            </a:r>
            <a:endParaRPr lang="fr-BE">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FB4-45AB-970F-AE91333D8AE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FB4-45AB-970F-AE91333D8AE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FB4-45AB-970F-AE91333D8AE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FB4-45AB-970F-AE91333D8AE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FB4-45AB-970F-AE91333D8AE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1FB4-45AB-970F-AE91333D8AEE}"/>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1FB4-45AB-970F-AE91333D8AEE}"/>
              </c:ext>
            </c:extLst>
          </c:dPt>
          <c:dLbls>
            <c:dLbl>
              <c:idx val="6"/>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1"/>
              <c:showSerName val="0"/>
              <c:showPercent val="1"/>
              <c:showBubbleSize val="0"/>
              <c:extLst>
                <c:ext xmlns:c16="http://schemas.microsoft.com/office/drawing/2014/chart" uri="{C3380CC4-5D6E-409C-BE32-E72D297353CC}">
                  <c16:uniqueId val="{0000000D-1FB4-45AB-970F-AE91333D8A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('Situation initiale'!$C$227:$C$232,'Situation initiale'!$C$242)</c:f>
              <c:strCache>
                <c:ptCount val="7"/>
                <c:pt idx="0">
                  <c:v>Toiture </c:v>
                </c:pt>
                <c:pt idx="1">
                  <c:v>Murs</c:v>
                </c:pt>
                <c:pt idx="2">
                  <c:v>Vitrages - portes</c:v>
                </c:pt>
                <c:pt idx="3">
                  <c:v>Planchers</c:v>
                </c:pt>
                <c:pt idx="4">
                  <c:v>Déperditions aérauliques</c:v>
                </c:pt>
                <c:pt idx="5">
                  <c:v>Nœuds constructifs</c:v>
                </c:pt>
                <c:pt idx="6">
                  <c:v>Pertes exploitation chauffage</c:v>
                </c:pt>
              </c:strCache>
            </c:strRef>
          </c:cat>
          <c:val>
            <c:numRef>
              <c:f>('Situation initiale'!$G$227:$G$232,'Situation initiale'!$G$242)</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1AF-49AD-918D-0E0E334F86B6}"/>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Bilan CO2</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stacked"/>
        <c:varyColors val="0"/>
        <c:ser>
          <c:idx val="0"/>
          <c:order val="0"/>
          <c:tx>
            <c:strRef>
              <c:f>'Situation initiale'!$D$289</c:f>
              <c:strCache>
                <c:ptCount val="1"/>
                <c:pt idx="0">
                  <c:v>Combustible</c:v>
                </c:pt>
              </c:strCache>
            </c:strRef>
          </c:tx>
          <c:spPr>
            <a:solidFill>
              <a:schemeClr val="accent1"/>
            </a:solidFill>
            <a:ln>
              <a:noFill/>
            </a:ln>
            <a:effectLst/>
          </c:spPr>
          <c:invertIfNegative val="0"/>
          <c:cat>
            <c:strRef>
              <c:f>'Situation initiale'!$C$290:$C$291</c:f>
              <c:strCache>
                <c:ptCount val="2"/>
                <c:pt idx="0">
                  <c:v>Emissions CO2</c:v>
                </c:pt>
                <c:pt idx="1">
                  <c:v>Compensation CO2</c:v>
                </c:pt>
              </c:strCache>
            </c:strRef>
          </c:cat>
          <c:val>
            <c:numRef>
              <c:f>'Situation initiale'!$D$290:$D$291</c:f>
              <c:numCache>
                <c:formatCode>General</c:formatCode>
                <c:ptCount val="2"/>
                <c:pt idx="0" formatCode="#,##0">
                  <c:v>0</c:v>
                </c:pt>
              </c:numCache>
            </c:numRef>
          </c:val>
          <c:extLst>
            <c:ext xmlns:c16="http://schemas.microsoft.com/office/drawing/2014/chart" uri="{C3380CC4-5D6E-409C-BE32-E72D297353CC}">
              <c16:uniqueId val="{00000000-44B8-4714-B9BB-8D80D060BCEA}"/>
            </c:ext>
          </c:extLst>
        </c:ser>
        <c:ser>
          <c:idx val="1"/>
          <c:order val="1"/>
          <c:tx>
            <c:strRef>
              <c:f>'Situation initiale'!$E$289</c:f>
              <c:strCache>
                <c:ptCount val="1"/>
                <c:pt idx="0">
                  <c:v>Electricité non-verte achetée</c:v>
                </c:pt>
              </c:strCache>
            </c:strRef>
          </c:tx>
          <c:spPr>
            <a:solidFill>
              <a:schemeClr val="accent2"/>
            </a:solidFill>
            <a:ln>
              <a:noFill/>
            </a:ln>
            <a:effectLst/>
          </c:spPr>
          <c:invertIfNegative val="0"/>
          <c:cat>
            <c:strRef>
              <c:f>'Situation initiale'!$C$290:$C$291</c:f>
              <c:strCache>
                <c:ptCount val="2"/>
                <c:pt idx="0">
                  <c:v>Emissions CO2</c:v>
                </c:pt>
                <c:pt idx="1">
                  <c:v>Compensation CO2</c:v>
                </c:pt>
              </c:strCache>
            </c:strRef>
          </c:cat>
          <c:val>
            <c:numRef>
              <c:f>'Situation initiale'!$E$290:$E$291</c:f>
              <c:numCache>
                <c:formatCode>General</c:formatCode>
                <c:ptCount val="2"/>
                <c:pt idx="0" formatCode="#,##0">
                  <c:v>0</c:v>
                </c:pt>
              </c:numCache>
            </c:numRef>
          </c:val>
          <c:extLst>
            <c:ext xmlns:c16="http://schemas.microsoft.com/office/drawing/2014/chart" uri="{C3380CC4-5D6E-409C-BE32-E72D297353CC}">
              <c16:uniqueId val="{00000001-44B8-4714-B9BB-8D80D060BCEA}"/>
            </c:ext>
          </c:extLst>
        </c:ser>
        <c:ser>
          <c:idx val="2"/>
          <c:order val="2"/>
          <c:tx>
            <c:strRef>
              <c:f>'Situation initiale'!$F$289</c:f>
              <c:strCache>
                <c:ptCount val="1"/>
                <c:pt idx="0">
                  <c:v>Electricité produite (PV, éolien)</c:v>
                </c:pt>
              </c:strCache>
            </c:strRef>
          </c:tx>
          <c:spPr>
            <a:solidFill>
              <a:schemeClr val="accent3"/>
            </a:solidFill>
            <a:ln>
              <a:noFill/>
            </a:ln>
            <a:effectLst/>
          </c:spPr>
          <c:invertIfNegative val="0"/>
          <c:cat>
            <c:strRef>
              <c:f>'Situation initiale'!$C$290:$C$291</c:f>
              <c:strCache>
                <c:ptCount val="2"/>
                <c:pt idx="0">
                  <c:v>Emissions CO2</c:v>
                </c:pt>
                <c:pt idx="1">
                  <c:v>Compensation CO2</c:v>
                </c:pt>
              </c:strCache>
            </c:strRef>
          </c:cat>
          <c:val>
            <c:numRef>
              <c:f>'Situation initiale'!$F$290:$F$291</c:f>
              <c:numCache>
                <c:formatCode>#,##0</c:formatCode>
                <c:ptCount val="2"/>
                <c:pt idx="1">
                  <c:v>0</c:v>
                </c:pt>
              </c:numCache>
            </c:numRef>
          </c:val>
          <c:extLst>
            <c:ext xmlns:c16="http://schemas.microsoft.com/office/drawing/2014/chart" uri="{C3380CC4-5D6E-409C-BE32-E72D297353CC}">
              <c16:uniqueId val="{00000002-44B8-4714-B9BB-8D80D060BCEA}"/>
            </c:ext>
          </c:extLst>
        </c:ser>
        <c:dLbls>
          <c:showLegendKey val="0"/>
          <c:showVal val="0"/>
          <c:showCatName val="0"/>
          <c:showSerName val="0"/>
          <c:showPercent val="0"/>
          <c:showBubbleSize val="0"/>
        </c:dLbls>
        <c:gapWidth val="150"/>
        <c:overlap val="100"/>
        <c:axId val="1606068303"/>
        <c:axId val="1954876047"/>
      </c:barChart>
      <c:catAx>
        <c:axId val="1606068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54876047"/>
        <c:crosses val="autoZero"/>
        <c:auto val="1"/>
        <c:lblAlgn val="ctr"/>
        <c:lblOffset val="100"/>
        <c:noMultiLvlLbl val="0"/>
      </c:catAx>
      <c:valAx>
        <c:axId val="19548760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606068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baseline="0"/>
              <a:t>Comparaison des déperditions par l'enveloppe (kWh) avec les surfaces concernées (m²)</a:t>
            </a:r>
            <a:endParaRPr lang="fr-B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E"/>
        </a:p>
      </c:txPr>
    </c:title>
    <c:autoTitleDeleted val="0"/>
    <c:plotArea>
      <c:layout/>
      <c:barChart>
        <c:barDir val="bar"/>
        <c:grouping val="percentStacked"/>
        <c:varyColors val="0"/>
        <c:ser>
          <c:idx val="0"/>
          <c:order val="0"/>
          <c:tx>
            <c:strRef>
              <c:f>'Situation initiale'!$Q$272</c:f>
              <c:strCache>
                <c:ptCount val="1"/>
                <c:pt idx="0">
                  <c:v>Toiture </c:v>
                </c:pt>
              </c:strCache>
            </c:strRef>
          </c:tx>
          <c:spPr>
            <a:solidFill>
              <a:schemeClr val="accent1"/>
            </a:solidFill>
            <a:ln>
              <a:noFill/>
            </a:ln>
            <a:effectLst/>
          </c:spPr>
          <c:invertIfNegative val="0"/>
          <c:cat>
            <c:strRef>
              <c:f>'Situation initiale'!$P$273:$P$274</c:f>
              <c:strCache>
                <c:ptCount val="2"/>
                <c:pt idx="0">
                  <c:v>Déperditions</c:v>
                </c:pt>
                <c:pt idx="1">
                  <c:v>Surfaces</c:v>
                </c:pt>
              </c:strCache>
            </c:strRef>
          </c:cat>
          <c:val>
            <c:numRef>
              <c:f>'Situation initiale'!$Q$273:$Q$274</c:f>
              <c:numCache>
                <c:formatCode>#,##0</c:formatCode>
                <c:ptCount val="2"/>
                <c:pt idx="0">
                  <c:v>0</c:v>
                </c:pt>
                <c:pt idx="1">
                  <c:v>0</c:v>
                </c:pt>
              </c:numCache>
            </c:numRef>
          </c:val>
          <c:extLst>
            <c:ext xmlns:c16="http://schemas.microsoft.com/office/drawing/2014/chart" uri="{C3380CC4-5D6E-409C-BE32-E72D297353CC}">
              <c16:uniqueId val="{00000000-769B-40B0-BBA6-A35A3A839C97}"/>
            </c:ext>
          </c:extLst>
        </c:ser>
        <c:ser>
          <c:idx val="1"/>
          <c:order val="1"/>
          <c:tx>
            <c:strRef>
              <c:f>'Situation initiale'!$R$272</c:f>
              <c:strCache>
                <c:ptCount val="1"/>
                <c:pt idx="0">
                  <c:v>Murs</c:v>
                </c:pt>
              </c:strCache>
            </c:strRef>
          </c:tx>
          <c:spPr>
            <a:solidFill>
              <a:schemeClr val="accent2"/>
            </a:solidFill>
            <a:ln>
              <a:noFill/>
            </a:ln>
            <a:effectLst/>
          </c:spPr>
          <c:invertIfNegative val="0"/>
          <c:cat>
            <c:strRef>
              <c:f>'Situation initiale'!$P$273:$P$274</c:f>
              <c:strCache>
                <c:ptCount val="2"/>
                <c:pt idx="0">
                  <c:v>Déperditions</c:v>
                </c:pt>
                <c:pt idx="1">
                  <c:v>Surfaces</c:v>
                </c:pt>
              </c:strCache>
            </c:strRef>
          </c:cat>
          <c:val>
            <c:numRef>
              <c:f>'Situation initiale'!$R$273:$R$274</c:f>
              <c:numCache>
                <c:formatCode>#,##0</c:formatCode>
                <c:ptCount val="2"/>
                <c:pt idx="0">
                  <c:v>0</c:v>
                </c:pt>
                <c:pt idx="1">
                  <c:v>0</c:v>
                </c:pt>
              </c:numCache>
            </c:numRef>
          </c:val>
          <c:extLst>
            <c:ext xmlns:c16="http://schemas.microsoft.com/office/drawing/2014/chart" uri="{C3380CC4-5D6E-409C-BE32-E72D297353CC}">
              <c16:uniqueId val="{00000001-769B-40B0-BBA6-A35A3A839C97}"/>
            </c:ext>
          </c:extLst>
        </c:ser>
        <c:ser>
          <c:idx val="2"/>
          <c:order val="2"/>
          <c:tx>
            <c:strRef>
              <c:f>'Situation initiale'!$S$272</c:f>
              <c:strCache>
                <c:ptCount val="1"/>
                <c:pt idx="0">
                  <c:v>Vitrages - portes</c:v>
                </c:pt>
              </c:strCache>
            </c:strRef>
          </c:tx>
          <c:spPr>
            <a:solidFill>
              <a:schemeClr val="accent3"/>
            </a:solidFill>
            <a:ln>
              <a:noFill/>
            </a:ln>
            <a:effectLst/>
          </c:spPr>
          <c:invertIfNegative val="0"/>
          <c:cat>
            <c:strRef>
              <c:f>'Situation initiale'!$P$273:$P$274</c:f>
              <c:strCache>
                <c:ptCount val="2"/>
                <c:pt idx="0">
                  <c:v>Déperditions</c:v>
                </c:pt>
                <c:pt idx="1">
                  <c:v>Surfaces</c:v>
                </c:pt>
              </c:strCache>
            </c:strRef>
          </c:cat>
          <c:val>
            <c:numRef>
              <c:f>'Situation initiale'!$S$273:$S$274</c:f>
              <c:numCache>
                <c:formatCode>#,##0</c:formatCode>
                <c:ptCount val="2"/>
                <c:pt idx="0">
                  <c:v>0</c:v>
                </c:pt>
                <c:pt idx="1">
                  <c:v>0</c:v>
                </c:pt>
              </c:numCache>
            </c:numRef>
          </c:val>
          <c:extLst>
            <c:ext xmlns:c16="http://schemas.microsoft.com/office/drawing/2014/chart" uri="{C3380CC4-5D6E-409C-BE32-E72D297353CC}">
              <c16:uniqueId val="{00000002-769B-40B0-BBA6-A35A3A839C97}"/>
            </c:ext>
          </c:extLst>
        </c:ser>
        <c:ser>
          <c:idx val="3"/>
          <c:order val="3"/>
          <c:tx>
            <c:strRef>
              <c:f>'Situation initiale'!$T$272</c:f>
              <c:strCache>
                <c:ptCount val="1"/>
                <c:pt idx="0">
                  <c:v>Planchers</c:v>
                </c:pt>
              </c:strCache>
            </c:strRef>
          </c:tx>
          <c:spPr>
            <a:solidFill>
              <a:schemeClr val="accent4"/>
            </a:solidFill>
            <a:ln>
              <a:noFill/>
            </a:ln>
            <a:effectLst/>
          </c:spPr>
          <c:invertIfNegative val="0"/>
          <c:cat>
            <c:strRef>
              <c:f>'Situation initiale'!$P$273:$P$274</c:f>
              <c:strCache>
                <c:ptCount val="2"/>
                <c:pt idx="0">
                  <c:v>Déperditions</c:v>
                </c:pt>
                <c:pt idx="1">
                  <c:v>Surfaces</c:v>
                </c:pt>
              </c:strCache>
            </c:strRef>
          </c:cat>
          <c:val>
            <c:numRef>
              <c:f>'Situation initiale'!$T$273:$T$274</c:f>
              <c:numCache>
                <c:formatCode>#,##0</c:formatCode>
                <c:ptCount val="2"/>
                <c:pt idx="0">
                  <c:v>0</c:v>
                </c:pt>
                <c:pt idx="1">
                  <c:v>0</c:v>
                </c:pt>
              </c:numCache>
            </c:numRef>
          </c:val>
          <c:extLst>
            <c:ext xmlns:c16="http://schemas.microsoft.com/office/drawing/2014/chart" uri="{C3380CC4-5D6E-409C-BE32-E72D297353CC}">
              <c16:uniqueId val="{00000003-769B-40B0-BBA6-A35A3A839C97}"/>
            </c:ext>
          </c:extLst>
        </c:ser>
        <c:dLbls>
          <c:showLegendKey val="0"/>
          <c:showVal val="0"/>
          <c:showCatName val="0"/>
          <c:showSerName val="0"/>
          <c:showPercent val="0"/>
          <c:showBubbleSize val="0"/>
        </c:dLbls>
        <c:gapWidth val="150"/>
        <c:overlap val="100"/>
        <c:axId val="756394864"/>
        <c:axId val="756392944"/>
      </c:barChart>
      <c:catAx>
        <c:axId val="75639486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6392944"/>
        <c:crosses val="autoZero"/>
        <c:auto val="1"/>
        <c:lblAlgn val="ctr"/>
        <c:lblOffset val="100"/>
        <c:noMultiLvlLbl val="0"/>
      </c:catAx>
      <c:valAx>
        <c:axId val="756392944"/>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756394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Bilan énergétique annuel de</a:t>
            </a:r>
            <a:r>
              <a:rPr lang="fr-BE" baseline="0"/>
              <a:t> la situation rénovée</a:t>
            </a:r>
            <a:endParaRPr lang="fr-BE"/>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E"/>
        </a:p>
      </c:txPr>
    </c:title>
    <c:autoTitleDeleted val="0"/>
    <c:plotArea>
      <c:layout/>
      <c:barChart>
        <c:barDir val="col"/>
        <c:grouping val="stacked"/>
        <c:varyColors val="0"/>
        <c:ser>
          <c:idx val="0"/>
          <c:order val="0"/>
          <c:tx>
            <c:strRef>
              <c:f>'Situation rénovée'!$B$255</c:f>
              <c:strCache>
                <c:ptCount val="1"/>
                <c:pt idx="0">
                  <c:v>Toiture </c:v>
                </c:pt>
              </c:strCache>
            </c:strRef>
          </c:tx>
          <c:spPr>
            <a:solidFill>
              <a:schemeClr val="accent1"/>
            </a:solidFill>
            <a:ln>
              <a:noFill/>
            </a:ln>
            <a:effectLst/>
          </c:spPr>
          <c:invertIfNegative val="0"/>
          <c:dLbls>
            <c:dLbl>
              <c:idx val="0"/>
              <c:tx>
                <c:rich>
                  <a:bodyPr/>
                  <a:lstStyle/>
                  <a:p>
                    <a:fld id="{6112A945-C071-48CC-8E26-9A98E21EAF54}" type="SERIESNAME">
                      <a:rPr lang="en-US" sz="10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rénovée'!$B$258:$B$259</c:f>
              <c:numCache>
                <c:formatCode>General</c:formatCode>
                <c:ptCount val="2"/>
                <c:pt idx="0" formatCode="0">
                  <c:v>0</c:v>
                </c:pt>
              </c:numCache>
            </c:numRef>
          </c:val>
          <c:extLst>
            <c:ext xmlns:c16="http://schemas.microsoft.com/office/drawing/2014/chart" uri="{C3380CC4-5D6E-409C-BE32-E72D297353CC}">
              <c16:uniqueId val="{00000001-EF54-4777-86C0-969B2E609AB0}"/>
            </c:ext>
          </c:extLst>
        </c:ser>
        <c:ser>
          <c:idx val="1"/>
          <c:order val="1"/>
          <c:tx>
            <c:strRef>
              <c:f>'Situation rénovée'!$C$255</c:f>
              <c:strCache>
                <c:ptCount val="1"/>
                <c:pt idx="0">
                  <c:v>Murs</c:v>
                </c:pt>
              </c:strCache>
            </c:strRef>
          </c:tx>
          <c:spPr>
            <a:solidFill>
              <a:schemeClr val="accent2"/>
            </a:solidFill>
            <a:ln>
              <a:noFill/>
            </a:ln>
            <a:effectLst/>
          </c:spPr>
          <c:invertIfNegative val="0"/>
          <c:dLbls>
            <c:dLbl>
              <c:idx val="0"/>
              <c:tx>
                <c:rich>
                  <a:bodyPr/>
                  <a:lstStyle/>
                  <a:p>
                    <a:fld id="{A243EB1C-57D7-4093-8EE9-5946EB746B56}" type="SERIESNAME">
                      <a:rPr lang="en-US" sz="10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rénovée'!$C$258:$C$259</c:f>
              <c:numCache>
                <c:formatCode>General</c:formatCode>
                <c:ptCount val="2"/>
                <c:pt idx="0" formatCode="0">
                  <c:v>0</c:v>
                </c:pt>
              </c:numCache>
            </c:numRef>
          </c:val>
          <c:extLst>
            <c:ext xmlns:c16="http://schemas.microsoft.com/office/drawing/2014/chart" uri="{C3380CC4-5D6E-409C-BE32-E72D297353CC}">
              <c16:uniqueId val="{00000003-EF54-4777-86C0-969B2E609AB0}"/>
            </c:ext>
          </c:extLst>
        </c:ser>
        <c:ser>
          <c:idx val="2"/>
          <c:order val="2"/>
          <c:tx>
            <c:strRef>
              <c:f>'Situation rénovée'!$D$255</c:f>
              <c:strCache>
                <c:ptCount val="1"/>
                <c:pt idx="0">
                  <c:v>Vitrages - portes</c:v>
                </c:pt>
              </c:strCache>
            </c:strRef>
          </c:tx>
          <c:spPr>
            <a:solidFill>
              <a:schemeClr val="accent3"/>
            </a:solidFill>
            <a:ln>
              <a:noFill/>
            </a:ln>
            <a:effectLst/>
          </c:spPr>
          <c:invertIfNegative val="0"/>
          <c:dLbls>
            <c:dLbl>
              <c:idx val="0"/>
              <c:tx>
                <c:rich>
                  <a:bodyPr/>
                  <a:lstStyle/>
                  <a:p>
                    <a:fld id="{6FC53BC8-8626-4614-AA78-BCD049FDA495}" type="SERIESNAME">
                      <a:rPr lang="en-US" sz="10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rénovée'!$D$258:$D$259</c:f>
              <c:numCache>
                <c:formatCode>General</c:formatCode>
                <c:ptCount val="2"/>
                <c:pt idx="0" formatCode="0">
                  <c:v>0</c:v>
                </c:pt>
              </c:numCache>
            </c:numRef>
          </c:val>
          <c:extLst>
            <c:ext xmlns:c16="http://schemas.microsoft.com/office/drawing/2014/chart" uri="{C3380CC4-5D6E-409C-BE32-E72D297353CC}">
              <c16:uniqueId val="{00000005-EF54-4777-86C0-969B2E609AB0}"/>
            </c:ext>
          </c:extLst>
        </c:ser>
        <c:ser>
          <c:idx val="3"/>
          <c:order val="3"/>
          <c:tx>
            <c:strRef>
              <c:f>'Situation rénovée'!$E$255</c:f>
              <c:strCache>
                <c:ptCount val="1"/>
                <c:pt idx="0">
                  <c:v>Planchers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rénovée'!$E$258:$E$259</c:f>
              <c:numCache>
                <c:formatCode>General</c:formatCode>
                <c:ptCount val="2"/>
                <c:pt idx="0" formatCode="0">
                  <c:v>0</c:v>
                </c:pt>
              </c:numCache>
            </c:numRef>
          </c:val>
          <c:extLst>
            <c:ext xmlns:c16="http://schemas.microsoft.com/office/drawing/2014/chart" uri="{C3380CC4-5D6E-409C-BE32-E72D297353CC}">
              <c16:uniqueId val="{00000006-EF54-4777-86C0-969B2E609AB0}"/>
            </c:ext>
          </c:extLst>
        </c:ser>
        <c:ser>
          <c:idx val="9"/>
          <c:order val="4"/>
          <c:tx>
            <c:strRef>
              <c:f>'Situation rénovée'!$F$255</c:f>
              <c:strCache>
                <c:ptCount val="1"/>
                <c:pt idx="0">
                  <c:v>Nœuds constructifs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rénovée'!$F$258</c:f>
              <c:numCache>
                <c:formatCode>0</c:formatCode>
                <c:ptCount val="1"/>
                <c:pt idx="0">
                  <c:v>0</c:v>
                </c:pt>
              </c:numCache>
            </c:numRef>
          </c:val>
          <c:extLst>
            <c:ext xmlns:c16="http://schemas.microsoft.com/office/drawing/2014/chart" uri="{C3380CC4-5D6E-409C-BE32-E72D297353CC}">
              <c16:uniqueId val="{00000001-17FF-4455-AE66-191133EBF9CD}"/>
            </c:ext>
          </c:extLst>
        </c:ser>
        <c:ser>
          <c:idx val="4"/>
          <c:order val="5"/>
          <c:tx>
            <c:strRef>
              <c:f>'Situation rénovée'!$G$255</c:f>
              <c:strCache>
                <c:ptCount val="1"/>
                <c:pt idx="0">
                  <c:v>Déperditions aérauliques</c:v>
                </c:pt>
              </c:strCache>
            </c:strRef>
          </c:tx>
          <c:spPr>
            <a:solidFill>
              <a:schemeClr val="accent5"/>
            </a:solidFill>
            <a:ln>
              <a:noFill/>
            </a:ln>
            <a:effectLst/>
          </c:spPr>
          <c:invertIfNegative val="0"/>
          <c:dLbls>
            <c:dLbl>
              <c:idx val="0"/>
              <c:tx>
                <c:rich>
                  <a:bodyPr/>
                  <a:lstStyle/>
                  <a:p>
                    <a:fld id="{EBB575F4-A9F1-4028-9729-D51E066C7E1F}" type="SERIESNAME">
                      <a:rPr lang="en-US" sz="1000" b="1" baseline="0"/>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rénovée'!$G$258:$G$259</c:f>
              <c:numCache>
                <c:formatCode>General</c:formatCode>
                <c:ptCount val="2"/>
                <c:pt idx="0" formatCode="0">
                  <c:v>0</c:v>
                </c:pt>
              </c:numCache>
            </c:numRef>
          </c:val>
          <c:extLst>
            <c:ext xmlns:c16="http://schemas.microsoft.com/office/drawing/2014/chart" uri="{C3380CC4-5D6E-409C-BE32-E72D297353CC}">
              <c16:uniqueId val="{00000008-EF54-4777-86C0-969B2E609AB0}"/>
            </c:ext>
          </c:extLst>
        </c:ser>
        <c:ser>
          <c:idx val="5"/>
          <c:order val="6"/>
          <c:tx>
            <c:strRef>
              <c:f>'Situation rénovée'!$H$255</c:f>
              <c:strCache>
                <c:ptCount val="1"/>
                <c:pt idx="0">
                  <c:v>Pertes exploitation chauffage</c:v>
                </c:pt>
              </c:strCache>
            </c:strRef>
          </c:tx>
          <c:spPr>
            <a:solidFill>
              <a:schemeClr val="accent6"/>
            </a:solidFill>
            <a:ln>
              <a:noFill/>
            </a:ln>
            <a:effectLst/>
          </c:spPr>
          <c:invertIfNegative val="0"/>
          <c:dLbls>
            <c:dLbl>
              <c:idx val="0"/>
              <c:tx>
                <c:rich>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fld id="{ECD38752-F9D9-4C30-8430-139A9C89E4FB}" type="SERIESNAME">
                      <a:rPr lang="en-US" sz="1000" b="1"/>
                      <a:pPr>
                        <a:defRPr/>
                      </a:pPr>
                      <a:t>[NOM DE SÉRIE]</a:t>
                    </a:fld>
                    <a:endParaRPr lang="fr-BE"/>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lumMod val="75000"/>
                          <a:lumOff val="25000"/>
                        </a:schemeClr>
                      </a:solidFill>
                      <a:latin typeface="+mn-lt"/>
                      <a:ea typeface="+mn-ea"/>
                      <a:cs typeface="+mn-cs"/>
                    </a:defRPr>
                  </a:pPr>
                  <a:endParaRPr lang="fr-BE"/>
                </a:p>
              </c:txPr>
              <c:showLegendKey val="0"/>
              <c:showVal val="0"/>
              <c:showCatName val="0"/>
              <c:showSerName val="1"/>
              <c:showPercent val="0"/>
              <c:showBubbleSize val="0"/>
              <c:extLst>
                <c:ext xmlns:c15="http://schemas.microsoft.com/office/drawing/2012/chart" uri="{CE6537A1-D6FC-4f65-9D91-7224C49458BB}">
                  <c15:layout>
                    <c:manualLayout>
                      <c:w val="0.21906933508311457"/>
                      <c:h val="0.12050908011105624"/>
                    </c:manualLayout>
                  </c15:layout>
                  <c15:dlblFieldTable/>
                  <c15:showDataLabelsRange val="0"/>
                </c:ext>
                <c:ext xmlns:c16="http://schemas.microsoft.com/office/drawing/2014/chart" uri="{C3380CC4-5D6E-409C-BE32-E72D297353CC}">
                  <c16:uniqueId val="{00000009-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rénovée'!$H$258:$H$259</c:f>
              <c:numCache>
                <c:formatCode>General</c:formatCode>
                <c:ptCount val="2"/>
                <c:pt idx="0" formatCode="0">
                  <c:v>0</c:v>
                </c:pt>
              </c:numCache>
            </c:numRef>
          </c:val>
          <c:extLst>
            <c:ext xmlns:c16="http://schemas.microsoft.com/office/drawing/2014/chart" uri="{C3380CC4-5D6E-409C-BE32-E72D297353CC}">
              <c16:uniqueId val="{0000000A-EF54-4777-86C0-969B2E609AB0}"/>
            </c:ext>
          </c:extLst>
        </c:ser>
        <c:ser>
          <c:idx val="6"/>
          <c:order val="7"/>
          <c:tx>
            <c:strRef>
              <c:f>'Situation rénovée'!$I$255</c:f>
              <c:strCache>
                <c:ptCount val="1"/>
                <c:pt idx="0">
                  <c:v>Apports internes</c:v>
                </c:pt>
              </c:strCache>
            </c:strRef>
          </c:tx>
          <c:spPr>
            <a:solidFill>
              <a:schemeClr val="accent1">
                <a:lumMod val="60000"/>
              </a:schemeClr>
            </a:solidFill>
            <a:ln>
              <a:noFill/>
            </a:ln>
            <a:effectLst/>
          </c:spPr>
          <c:invertIfNegative val="0"/>
          <c:dLbls>
            <c:dLbl>
              <c:idx val="1"/>
              <c:tx>
                <c:rich>
                  <a:bodyPr/>
                  <a:lstStyle/>
                  <a:p>
                    <a:fld id="{653D3B6D-0904-4AEE-B254-19190CAEA31E}" type="SERIESNAME">
                      <a:rPr lang="en-US" sz="12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B-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rénovée'!$I$258:$I$259</c:f>
              <c:numCache>
                <c:formatCode>0</c:formatCode>
                <c:ptCount val="2"/>
                <c:pt idx="1">
                  <c:v>0</c:v>
                </c:pt>
              </c:numCache>
            </c:numRef>
          </c:val>
          <c:extLst>
            <c:ext xmlns:c16="http://schemas.microsoft.com/office/drawing/2014/chart" uri="{C3380CC4-5D6E-409C-BE32-E72D297353CC}">
              <c16:uniqueId val="{0000000C-EF54-4777-86C0-969B2E609AB0}"/>
            </c:ext>
          </c:extLst>
        </c:ser>
        <c:ser>
          <c:idx val="7"/>
          <c:order val="8"/>
          <c:tx>
            <c:strRef>
              <c:f>'Situation rénovée'!$J$255</c:f>
              <c:strCache>
                <c:ptCount val="1"/>
                <c:pt idx="0">
                  <c:v>Apports solaires</c:v>
                </c:pt>
              </c:strCache>
            </c:strRef>
          </c:tx>
          <c:spPr>
            <a:solidFill>
              <a:schemeClr val="accent2">
                <a:lumMod val="60000"/>
              </a:schemeClr>
            </a:solidFill>
            <a:ln>
              <a:noFill/>
            </a:ln>
            <a:effectLst/>
          </c:spPr>
          <c:invertIfNegative val="0"/>
          <c:dLbls>
            <c:dLbl>
              <c:idx val="1"/>
              <c:tx>
                <c:rich>
                  <a:bodyPr/>
                  <a:lstStyle/>
                  <a:p>
                    <a:fld id="{66870178-8755-4738-918B-EA6982B5456B}" type="SERIESNAME">
                      <a:rPr lang="en-US" sz="11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D-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rénovée'!$J$258:$J$259</c:f>
              <c:numCache>
                <c:formatCode>0</c:formatCode>
                <c:ptCount val="2"/>
                <c:pt idx="1">
                  <c:v>0</c:v>
                </c:pt>
              </c:numCache>
            </c:numRef>
          </c:val>
          <c:extLst>
            <c:ext xmlns:c16="http://schemas.microsoft.com/office/drawing/2014/chart" uri="{C3380CC4-5D6E-409C-BE32-E72D297353CC}">
              <c16:uniqueId val="{0000000E-EF54-4777-86C0-969B2E609AB0}"/>
            </c:ext>
          </c:extLst>
        </c:ser>
        <c:ser>
          <c:idx val="8"/>
          <c:order val="9"/>
          <c:tx>
            <c:strRef>
              <c:f>'Situation rénovée'!$K$255</c:f>
              <c:strCache>
                <c:ptCount val="1"/>
                <c:pt idx="0">
                  <c:v>Estimation consommations</c:v>
                </c:pt>
              </c:strCache>
            </c:strRef>
          </c:tx>
          <c:spPr>
            <a:solidFill>
              <a:schemeClr val="accent3">
                <a:lumMod val="60000"/>
              </a:schemeClr>
            </a:solidFill>
            <a:ln>
              <a:noFill/>
            </a:ln>
            <a:effectLst/>
          </c:spPr>
          <c:invertIfNegative val="0"/>
          <c:dLbls>
            <c:dLbl>
              <c:idx val="1"/>
              <c:tx>
                <c:rich>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fld id="{FBCD1AF0-182B-4DBF-B280-956902652EBB}" type="SERIESNAME">
                      <a:rPr lang="en-US" sz="1100" b="1">
                        <a:solidFill>
                          <a:schemeClr val="bg1"/>
                        </a:solidFill>
                      </a:rPr>
                      <a:pPr>
                        <a:defRPr>
                          <a:solidFill>
                            <a:schemeClr val="bg1"/>
                          </a:solidFill>
                        </a:defRPr>
                      </a:pPr>
                      <a:t>[NOM DE SÉRIE]</a:t>
                    </a:fld>
                    <a:endParaRPr lang="fr-BE"/>
                  </a:p>
                </c:rich>
              </c:tx>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bg1"/>
                      </a:solidFill>
                      <a:latin typeface="+mn-lt"/>
                      <a:ea typeface="+mn-ea"/>
                      <a:cs typeface="+mn-cs"/>
                    </a:defRPr>
                  </a:pPr>
                  <a:endParaRPr lang="fr-BE"/>
                </a:p>
              </c:txPr>
              <c:showLegendKey val="0"/>
              <c:showVal val="0"/>
              <c:showCatName val="0"/>
              <c:showSerName val="1"/>
              <c:showPercent val="0"/>
              <c:showBubbleSize val="0"/>
              <c:extLst>
                <c:ext xmlns:c15="http://schemas.microsoft.com/office/drawing/2012/chart" uri="{CE6537A1-D6FC-4f65-9D91-7224C49458BB}">
                  <c15:layout>
                    <c:manualLayout>
                      <c:w val="0.24209733158355207"/>
                      <c:h val="9.5055849874049941E-2"/>
                    </c:manualLayout>
                  </c15:layout>
                  <c15:dlblFieldTable/>
                  <c15:showDataLabelsRange val="0"/>
                </c:ext>
                <c:ext xmlns:c16="http://schemas.microsoft.com/office/drawing/2014/chart" uri="{C3380CC4-5D6E-409C-BE32-E72D297353CC}">
                  <c16:uniqueId val="{0000000F-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rénovée'!$A$258:$A$259</c:f>
              <c:strCache>
                <c:ptCount val="2"/>
                <c:pt idx="0">
                  <c:v>Pertes en situation rénovée</c:v>
                </c:pt>
                <c:pt idx="1">
                  <c:v>Gains + consommation en situation rénovée</c:v>
                </c:pt>
              </c:strCache>
            </c:strRef>
          </c:cat>
          <c:val>
            <c:numRef>
              <c:f>'Situation rénovée'!$K$258:$K$259</c:f>
              <c:numCache>
                <c:formatCode>0</c:formatCode>
                <c:ptCount val="2"/>
                <c:pt idx="1">
                  <c:v>0</c:v>
                </c:pt>
              </c:numCache>
            </c:numRef>
          </c:val>
          <c:extLst>
            <c:ext xmlns:c16="http://schemas.microsoft.com/office/drawing/2014/chart" uri="{C3380CC4-5D6E-409C-BE32-E72D297353CC}">
              <c16:uniqueId val="{00000010-EF54-4777-86C0-969B2E609AB0}"/>
            </c:ext>
          </c:extLst>
        </c:ser>
        <c:dLbls>
          <c:showLegendKey val="0"/>
          <c:showVal val="1"/>
          <c:showCatName val="0"/>
          <c:showSerName val="0"/>
          <c:showPercent val="0"/>
          <c:showBubbleSize val="0"/>
        </c:dLbls>
        <c:gapWidth val="43"/>
        <c:overlap val="100"/>
        <c:axId val="1360244063"/>
        <c:axId val="1360244479"/>
      </c:barChart>
      <c:catAx>
        <c:axId val="1360244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60244479"/>
        <c:crosses val="autoZero"/>
        <c:auto val="1"/>
        <c:lblAlgn val="ctr"/>
        <c:lblOffset val="100"/>
        <c:noMultiLvlLbl val="0"/>
      </c:catAx>
      <c:valAx>
        <c:axId val="1360244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602440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800" b="0" i="0" baseline="0">
                <a:effectLst/>
              </a:rPr>
              <a:t>Bilan annuel par postes en situation rénovée</a:t>
            </a:r>
            <a:endParaRPr lang="fr-BE">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ACA-4308-A736-B6D3FEAF093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ACA-4308-A736-B6D3FEAF093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ACA-4308-A736-B6D3FEAF0932}"/>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ACA-4308-A736-B6D3FEAF0932}"/>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ACA-4308-A736-B6D3FEAF0932}"/>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ACA-4308-A736-B6D3FEAF093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('Situation rénovée'!$C$209:$C$214,'Situation rénovée'!$C$224)</c15:sqref>
                  </c15:fullRef>
                </c:ext>
              </c:extLst>
              <c:f>'Situation rénovée'!$C$209:$C$214</c:f>
              <c:strCache>
                <c:ptCount val="6"/>
                <c:pt idx="0">
                  <c:v>Toiture </c:v>
                </c:pt>
                <c:pt idx="1">
                  <c:v>Murs</c:v>
                </c:pt>
                <c:pt idx="2">
                  <c:v>Vitrages - portes</c:v>
                </c:pt>
                <c:pt idx="3">
                  <c:v>Planchers</c:v>
                </c:pt>
                <c:pt idx="4">
                  <c:v>Nœuds constructifs</c:v>
                </c:pt>
                <c:pt idx="5">
                  <c:v>Déperditions aérauliques</c:v>
                </c:pt>
              </c:strCache>
            </c:strRef>
          </c:cat>
          <c:val>
            <c:numRef>
              <c:extLst>
                <c:ext xmlns:c15="http://schemas.microsoft.com/office/drawing/2012/chart" uri="{02D57815-91ED-43cb-92C2-25804820EDAC}">
                  <c15:fullRef>
                    <c15:sqref>('Situation rénovée'!$H$209:$H$214,'Situation rénovée'!$H$224)</c15:sqref>
                  </c15:fullRef>
                </c:ext>
              </c:extLst>
              <c:f>'Situation rénovée'!$H$209:$H$214</c:f>
              <c:numCache>
                <c:formatCode>#,##0</c:formatCode>
                <c:ptCount val="6"/>
                <c:pt idx="0">
                  <c:v>0</c:v>
                </c:pt>
                <c:pt idx="1">
                  <c:v>0</c:v>
                </c:pt>
                <c:pt idx="2">
                  <c:v>0</c:v>
                </c:pt>
                <c:pt idx="3">
                  <c:v>0</c:v>
                </c:pt>
                <c:pt idx="4">
                  <c:v>0</c:v>
                </c:pt>
                <c:pt idx="5">
                  <c:v>0</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0-290C-4B52-89C5-C47EB9E72B3A}"/>
            </c:ext>
          </c:extLst>
        </c:ser>
        <c:dLbls>
          <c:showLegendKey val="0"/>
          <c:showVal val="0"/>
          <c:showCatName val="1"/>
          <c:showSerName val="0"/>
          <c:showPercent val="1"/>
          <c:showBubbleSize val="0"/>
          <c:showLeaderLines val="1"/>
        </c:dLbls>
        <c:firstSliceAng val="85"/>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r>
              <a:rPr lang="fr-BE" sz="1800" b="0" cap="none" baseline="0"/>
              <a:t>Répartition des pertes en situation rénovée</a:t>
            </a:r>
          </a:p>
        </c:rich>
      </c:tx>
      <c:overlay val="0"/>
      <c:spPr>
        <a:noFill/>
        <a:ln>
          <a:noFill/>
        </a:ln>
        <a:effectLst/>
      </c:spPr>
      <c:txPr>
        <a:bodyPr rot="0" spcFirstLastPara="1" vertOverflow="ellipsis" vert="horz" wrap="square" anchor="ctr" anchorCtr="1"/>
        <a:lstStyle/>
        <a:p>
          <a:pPr>
            <a:defRPr sz="1400" b="1" i="0" u="none" strike="noStrike" kern="1200" cap="all" spc="50" baseline="0">
              <a:solidFill>
                <a:schemeClr val="tx1">
                  <a:lumMod val="65000"/>
                  <a:lumOff val="35000"/>
                </a:schemeClr>
              </a:solidFill>
              <a:latin typeface="+mn-lt"/>
              <a:ea typeface="+mn-ea"/>
              <a:cs typeface="+mn-cs"/>
            </a:defRPr>
          </a:pPr>
          <a:endParaRPr lang="fr-FR"/>
        </a:p>
      </c:txPr>
    </c:title>
    <c:autoTitleDeleted val="0"/>
    <c:plotArea>
      <c:layout/>
      <c:pieChart>
        <c:varyColors val="1"/>
        <c:ser>
          <c:idx val="0"/>
          <c:order val="0"/>
          <c:dPt>
            <c:idx val="0"/>
            <c:bubble3D val="0"/>
            <c:spPr>
              <a:solidFill>
                <a:schemeClr val="accent1"/>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DF4-4045-BF90-1FF213659D3B}"/>
              </c:ext>
            </c:extLst>
          </c:dPt>
          <c:dPt>
            <c:idx val="1"/>
            <c:bubble3D val="0"/>
            <c:spPr>
              <a:solidFill>
                <a:schemeClr val="accent2"/>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DF4-4045-BF90-1FF213659D3B}"/>
              </c:ext>
            </c:extLst>
          </c:dPt>
          <c:dPt>
            <c:idx val="2"/>
            <c:bubble3D val="0"/>
            <c:spPr>
              <a:solidFill>
                <a:schemeClr val="accent3"/>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5-7DF4-4045-BF90-1FF213659D3B}"/>
              </c:ext>
            </c:extLst>
          </c:dPt>
          <c:dPt>
            <c:idx val="3"/>
            <c:bubble3D val="0"/>
            <c:spPr>
              <a:solidFill>
                <a:schemeClr val="accent4"/>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7-7DF4-4045-BF90-1FF213659D3B}"/>
              </c:ext>
            </c:extLst>
          </c:dPt>
          <c:dPt>
            <c:idx val="4"/>
            <c:bubble3D val="0"/>
            <c:spPr>
              <a:solidFill>
                <a:schemeClr val="accent5"/>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9-7DF4-4045-BF90-1FF213659D3B}"/>
              </c:ext>
            </c:extLst>
          </c:dPt>
          <c:dPt>
            <c:idx val="5"/>
            <c:bubble3D val="0"/>
            <c:spPr>
              <a:solidFill>
                <a:schemeClr val="accent6"/>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B-7DF4-4045-BF90-1FF213659D3B}"/>
              </c:ext>
            </c:extLst>
          </c:dPt>
          <c:dPt>
            <c:idx val="6"/>
            <c:bubble3D val="0"/>
            <c:spPr>
              <a:solidFill>
                <a:schemeClr val="accent1">
                  <a:lumMod val="6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D-7DF4-4045-BF90-1FF213659D3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fr-FR"/>
              </a:p>
            </c:txPr>
            <c:showLegendKey val="0"/>
            <c:showVal val="1"/>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('Situation rénovée'!$C$209:$C$214,'Situation rénovée'!$C$224)</c:f>
              <c:strCache>
                <c:ptCount val="7"/>
                <c:pt idx="0">
                  <c:v>Toiture </c:v>
                </c:pt>
                <c:pt idx="1">
                  <c:v>Murs</c:v>
                </c:pt>
                <c:pt idx="2">
                  <c:v>Vitrages - portes</c:v>
                </c:pt>
                <c:pt idx="3">
                  <c:v>Planchers</c:v>
                </c:pt>
                <c:pt idx="4">
                  <c:v>Nœuds constructifs</c:v>
                </c:pt>
                <c:pt idx="5">
                  <c:v>Déperditions aérauliques</c:v>
                </c:pt>
                <c:pt idx="6">
                  <c:v>Pertes exploitation chauffage</c:v>
                </c:pt>
              </c:strCache>
            </c:strRef>
          </c:cat>
          <c:val>
            <c:numRef>
              <c:f>('Situation rénovée'!$D$209:$D$214,'Situation rénovée'!$D$224)</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3F1-4AE6-964F-A0AA32CC4996}"/>
            </c:ext>
          </c:extLst>
        </c:ser>
        <c:dLbls>
          <c:showLegendKey val="0"/>
          <c:showVal val="0"/>
          <c:showCatName val="1"/>
          <c:showSerName val="0"/>
          <c:showPercent val="1"/>
          <c:showBubbleSize val="0"/>
          <c:showLeaderLines val="1"/>
        </c:dLbls>
        <c:firstSliceAng val="10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sz="1800"/>
              <a:t>Répartition</a:t>
            </a:r>
            <a:r>
              <a:rPr lang="fr-BE" sz="1800" baseline="0"/>
              <a:t> des émissions de CO</a:t>
            </a:r>
            <a:r>
              <a:rPr lang="fr-BE" sz="1800" baseline="-25000"/>
              <a:t>2</a:t>
            </a:r>
            <a:r>
              <a:rPr lang="fr-BE" sz="1800" baseline="0"/>
              <a:t> par postes</a:t>
            </a:r>
            <a:endParaRPr lang="fr-BE" sz="18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C4-4CC2-B3BA-B716E64FA37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CC4-4CC2-B3BA-B716E64FA37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CC4-4CC2-B3BA-B716E64FA37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'Situation rénovée'!$C$325:$C$326</c:f>
              <c:strCache>
                <c:ptCount val="2"/>
                <c:pt idx="0">
                  <c:v>Combustible</c:v>
                </c:pt>
                <c:pt idx="1">
                  <c:v>Consos électriques non-vertes</c:v>
                </c:pt>
              </c:strCache>
            </c:strRef>
          </c:cat>
          <c:val>
            <c:numRef>
              <c:f>'Situation rénovée'!$D$325:$D$326</c:f>
              <c:numCache>
                <c:formatCode>#,##0</c:formatCode>
                <c:ptCount val="2"/>
                <c:pt idx="0">
                  <c:v>0</c:v>
                </c:pt>
                <c:pt idx="1">
                  <c:v>0</c:v>
                </c:pt>
              </c:numCache>
            </c:numRef>
          </c:val>
          <c:extLst>
            <c:ext xmlns:c16="http://schemas.microsoft.com/office/drawing/2014/chart" uri="{C3380CC4-5D6E-409C-BE32-E72D297353CC}">
              <c16:uniqueId val="{00000000-5CA6-4609-B5C0-532A2E58B048}"/>
            </c:ext>
          </c:extLst>
        </c:ser>
        <c:dLbls>
          <c:showLegendKey val="0"/>
          <c:showVal val="0"/>
          <c:showCatName val="1"/>
          <c:showSerName val="0"/>
          <c:showPercent val="1"/>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BE"/>
              <a:t>Bilan CO</a:t>
            </a:r>
            <a:r>
              <a:rPr lang="fr-BE" baseline="-25000"/>
              <a:t>2 </a:t>
            </a:r>
            <a:r>
              <a:rPr lang="fr-BE" baseline="0"/>
              <a:t>(fourniture d'électricité non verte)</a:t>
            </a:r>
            <a:endParaRPr lang="fr-BE" baseline="-2500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BE"/>
        </a:p>
      </c:txPr>
    </c:title>
    <c:autoTitleDeleted val="0"/>
    <c:plotArea>
      <c:layout/>
      <c:barChart>
        <c:barDir val="col"/>
        <c:grouping val="stacked"/>
        <c:varyColors val="0"/>
        <c:ser>
          <c:idx val="2"/>
          <c:order val="0"/>
          <c:tx>
            <c:strRef>
              <c:f>'Situation rénovée'!$C$372</c:f>
              <c:strCache>
                <c:ptCount val="1"/>
                <c:pt idx="0">
                  <c:v>Combustible</c:v>
                </c:pt>
              </c:strCache>
            </c:strRef>
          </c:tx>
          <c:spPr>
            <a:solidFill>
              <a:schemeClr val="accent2">
                <a:lumMod val="75000"/>
              </a:schemeClr>
            </a:solidFill>
            <a:ln>
              <a:noFill/>
            </a:ln>
            <a:effectLst/>
          </c:spPr>
          <c:invertIfNegative val="0"/>
          <c:dLbls>
            <c:dLbl>
              <c:idx val="0"/>
              <c:tx>
                <c:rich>
                  <a:bodyPr/>
                  <a:lstStyle/>
                  <a:p>
                    <a:fld id="{6FC53BC8-8626-4614-AA78-BCD049FDA495}" type="SERIESNAME">
                      <a:rPr lang="en-US" sz="10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rénovée'!$B$375:$B$376</c:f>
              <c:strCache>
                <c:ptCount val="2"/>
                <c:pt idx="0">
                  <c:v>Sources émission CO2 en situation rénovée</c:v>
                </c:pt>
                <c:pt idx="1">
                  <c:v>Compensation CO2 en situation rénovée</c:v>
                </c:pt>
              </c:strCache>
            </c:strRef>
          </c:cat>
          <c:val>
            <c:numRef>
              <c:f>'Situation rénovée'!$C$375:$C$376</c:f>
              <c:numCache>
                <c:formatCode>General</c:formatCode>
                <c:ptCount val="2"/>
                <c:pt idx="0" formatCode="#,##0">
                  <c:v>0</c:v>
                </c:pt>
              </c:numCache>
            </c:numRef>
          </c:val>
          <c:extLst>
            <c:ext xmlns:c16="http://schemas.microsoft.com/office/drawing/2014/chart" uri="{C3380CC4-5D6E-409C-BE32-E72D297353CC}">
              <c16:uniqueId val="{00000005-EF54-4777-86C0-969B2E609AB0}"/>
            </c:ext>
          </c:extLst>
        </c:ser>
        <c:ser>
          <c:idx val="9"/>
          <c:order val="1"/>
          <c:tx>
            <c:strRef>
              <c:f>'Situation rénovée'!$D$372</c:f>
              <c:strCache>
                <c:ptCount val="1"/>
                <c:pt idx="0">
                  <c:v>Consos électriques initiales</c:v>
                </c:pt>
              </c:strCache>
            </c:strRef>
          </c:tx>
          <c:spPr>
            <a:solidFill>
              <a:schemeClr val="accent4">
                <a:lumMod val="60000"/>
              </a:schemeClr>
            </a:solidFill>
            <a:ln>
              <a:noFill/>
            </a:ln>
            <a:effectLst/>
          </c:spPr>
          <c:invertIfNegative val="0"/>
          <c:dPt>
            <c:idx val="0"/>
            <c:invertIfNegative val="0"/>
            <c:bubble3D val="0"/>
            <c:extLst>
              <c:ext xmlns:c16="http://schemas.microsoft.com/office/drawing/2014/chart" uri="{C3380CC4-5D6E-409C-BE32-E72D297353CC}">
                <c16:uniqueId val="{00000001-53EF-4629-A11B-439BCF50644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rénovée'!$B$375:$B$376</c:f>
              <c:strCache>
                <c:ptCount val="2"/>
                <c:pt idx="0">
                  <c:v>Sources émission CO2 en situation rénovée</c:v>
                </c:pt>
                <c:pt idx="1">
                  <c:v>Compensation CO2 en situation rénovée</c:v>
                </c:pt>
              </c:strCache>
            </c:strRef>
          </c:cat>
          <c:val>
            <c:numRef>
              <c:f>'Situation rénovée'!$D$375:$D$376</c:f>
              <c:numCache>
                <c:formatCode>General</c:formatCode>
                <c:ptCount val="2"/>
                <c:pt idx="0" formatCode="#,##0">
                  <c:v>0</c:v>
                </c:pt>
              </c:numCache>
            </c:numRef>
          </c:val>
          <c:extLst>
            <c:ext xmlns:c16="http://schemas.microsoft.com/office/drawing/2014/chart" uri="{C3380CC4-5D6E-409C-BE32-E72D297353CC}">
              <c16:uniqueId val="{00000001-17FF-4455-AE66-191133EBF9CD}"/>
            </c:ext>
          </c:extLst>
        </c:ser>
        <c:ser>
          <c:idx val="6"/>
          <c:order val="2"/>
          <c:tx>
            <c:strRef>
              <c:f>'Situation rénovée'!$E$372</c:f>
              <c:strCache>
                <c:ptCount val="1"/>
                <c:pt idx="0">
                  <c:v>Passage à l'électricité verte</c:v>
                </c:pt>
              </c:strCache>
            </c:strRef>
          </c:tx>
          <c:spPr>
            <a:solidFill>
              <a:schemeClr val="tx2">
                <a:lumMod val="40000"/>
                <a:lumOff val="60000"/>
              </a:schemeClr>
            </a:solidFill>
            <a:ln>
              <a:noFill/>
            </a:ln>
            <a:effectLst/>
          </c:spPr>
          <c:invertIfNegative val="0"/>
          <c:dLbls>
            <c:dLbl>
              <c:idx val="1"/>
              <c:tx>
                <c:rich>
                  <a:bodyPr/>
                  <a:lstStyle/>
                  <a:p>
                    <a:fld id="{653D3B6D-0904-4AEE-B254-19190CAEA31E}" type="SERIESNAME">
                      <a:rPr lang="en-US" sz="12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layout>
                    <c:manualLayout>
                      <c:w val="0.18987314085739285"/>
                      <c:h val="6.747321477720912E-2"/>
                    </c:manualLayout>
                  </c15:layout>
                  <c15:dlblFieldTable/>
                  <c15:showDataLabelsRange val="0"/>
                </c:ext>
                <c:ext xmlns:c16="http://schemas.microsoft.com/office/drawing/2014/chart" uri="{C3380CC4-5D6E-409C-BE32-E72D297353CC}">
                  <c16:uniqueId val="{0000000B-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rénovée'!$B$375:$B$376</c:f>
              <c:strCache>
                <c:ptCount val="2"/>
                <c:pt idx="0">
                  <c:v>Sources émission CO2 en situation rénovée</c:v>
                </c:pt>
                <c:pt idx="1">
                  <c:v>Compensation CO2 en situation rénovée</c:v>
                </c:pt>
              </c:strCache>
            </c:strRef>
          </c:cat>
          <c:val>
            <c:numRef>
              <c:f>'Situation rénovée'!$E$375:$E$376</c:f>
              <c:numCache>
                <c:formatCode>General</c:formatCode>
                <c:ptCount val="2"/>
                <c:pt idx="1">
                  <c:v>0</c:v>
                </c:pt>
              </c:numCache>
            </c:numRef>
          </c:val>
          <c:extLst>
            <c:ext xmlns:c16="http://schemas.microsoft.com/office/drawing/2014/chart" uri="{C3380CC4-5D6E-409C-BE32-E72D297353CC}">
              <c16:uniqueId val="{0000000C-EF54-4777-86C0-969B2E609AB0}"/>
            </c:ext>
          </c:extLst>
        </c:ser>
        <c:ser>
          <c:idx val="7"/>
          <c:order val="3"/>
          <c:tx>
            <c:strRef>
              <c:f>'Situation rénovée'!$F$372</c:f>
              <c:strCache>
                <c:ptCount val="1"/>
                <c:pt idx="0">
                  <c:v>Production renouvelable</c:v>
                </c:pt>
              </c:strCache>
            </c:strRef>
          </c:tx>
          <c:spPr>
            <a:solidFill>
              <a:schemeClr val="accent2">
                <a:lumMod val="60000"/>
              </a:schemeClr>
            </a:solidFill>
            <a:ln>
              <a:noFill/>
            </a:ln>
            <a:effectLst/>
          </c:spPr>
          <c:invertIfNegative val="0"/>
          <c:dPt>
            <c:idx val="1"/>
            <c:invertIfNegative val="0"/>
            <c:bubble3D val="0"/>
            <c:spPr>
              <a:solidFill>
                <a:schemeClr val="accent3"/>
              </a:solidFill>
              <a:ln>
                <a:noFill/>
              </a:ln>
              <a:effectLst/>
            </c:spPr>
            <c:extLst>
              <c:ext xmlns:c16="http://schemas.microsoft.com/office/drawing/2014/chart" uri="{C3380CC4-5D6E-409C-BE32-E72D297353CC}">
                <c16:uniqueId val="{0000000D-EF54-4777-86C0-969B2E609AB0}"/>
              </c:ext>
            </c:extLst>
          </c:dPt>
          <c:dLbls>
            <c:dLbl>
              <c:idx val="1"/>
              <c:tx>
                <c:rich>
                  <a:bodyPr/>
                  <a:lstStyle/>
                  <a:p>
                    <a:fld id="{66870178-8755-4738-918B-EA6982B5456B}" type="SERIESNAME">
                      <a:rPr lang="en-US" sz="1100" b="1"/>
                      <a:pPr/>
                      <a:t>[NOM DE SÉRIE]</a:t>
                    </a:fld>
                    <a:endParaRPr lang="fr-BE"/>
                  </a:p>
                </c:rich>
              </c:tx>
              <c:showLegendKey val="0"/>
              <c:showVal val="0"/>
              <c:showCatName val="0"/>
              <c:showSerName val="1"/>
              <c:showPercent val="0"/>
              <c:showBubbleSize val="0"/>
              <c:extLst>
                <c:ext xmlns:c15="http://schemas.microsoft.com/office/drawing/2012/chart" uri="{CE6537A1-D6FC-4f65-9D91-7224C49458BB}">
                  <c15:layout>
                    <c:manualLayout>
                      <c:w val="0.2310417760279965"/>
                      <c:h val="6.747321477720912E-2"/>
                    </c:manualLayout>
                  </c15:layout>
                  <c15:dlblFieldTable/>
                  <c15:showDataLabelsRange val="0"/>
                </c:ext>
                <c:ext xmlns:c16="http://schemas.microsoft.com/office/drawing/2014/chart" uri="{C3380CC4-5D6E-409C-BE32-E72D297353CC}">
                  <c16:uniqueId val="{0000000D-EF54-4777-86C0-969B2E609A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fr-FR"/>
              </a:p>
            </c:txPr>
            <c:showLegendKey val="0"/>
            <c:showVal val="0"/>
            <c:showCatName val="0"/>
            <c:showSerName val="1"/>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'Situation rénovée'!$B$375:$B$376</c:f>
              <c:strCache>
                <c:ptCount val="2"/>
                <c:pt idx="0">
                  <c:v>Sources émission CO2 en situation rénovée</c:v>
                </c:pt>
                <c:pt idx="1">
                  <c:v>Compensation CO2 en situation rénovée</c:v>
                </c:pt>
              </c:strCache>
            </c:strRef>
          </c:cat>
          <c:val>
            <c:numRef>
              <c:f>'Situation rénovée'!$F$375:$F$376</c:f>
              <c:numCache>
                <c:formatCode>#,##0</c:formatCode>
                <c:ptCount val="2"/>
                <c:pt idx="1">
                  <c:v>0</c:v>
                </c:pt>
              </c:numCache>
            </c:numRef>
          </c:val>
          <c:extLst>
            <c:ext xmlns:c16="http://schemas.microsoft.com/office/drawing/2014/chart" uri="{C3380CC4-5D6E-409C-BE32-E72D297353CC}">
              <c16:uniqueId val="{0000000E-EF54-4777-86C0-969B2E609AB0}"/>
            </c:ext>
          </c:extLst>
        </c:ser>
        <c:dLbls>
          <c:showLegendKey val="0"/>
          <c:showVal val="1"/>
          <c:showCatName val="0"/>
          <c:showSerName val="0"/>
          <c:showPercent val="0"/>
          <c:showBubbleSize val="0"/>
        </c:dLbls>
        <c:gapWidth val="43"/>
        <c:overlap val="100"/>
        <c:axId val="1360244063"/>
        <c:axId val="1360244479"/>
      </c:barChart>
      <c:catAx>
        <c:axId val="13602440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fr-FR"/>
          </a:p>
        </c:txPr>
        <c:crossAx val="1360244479"/>
        <c:crosses val="autoZero"/>
        <c:auto val="1"/>
        <c:lblAlgn val="ctr"/>
        <c:lblOffset val="100"/>
        <c:noMultiLvlLbl val="0"/>
      </c:catAx>
      <c:valAx>
        <c:axId val="136024447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360244063"/>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Drop" dropLines="10" dropStyle="combo" dx="26" fmlaLink="Données!$B$41" fmlaRange="Données!$A$32:$A$40" noThreeD="1" sel="2" val="0"/>
</file>

<file path=xl/ctrlProps/ctrlProp2.xml><?xml version="1.0" encoding="utf-8"?>
<formControlPr xmlns="http://schemas.microsoft.com/office/spreadsheetml/2009/9/main" objectType="Drop" dropLines="10" dropStyle="combo" dx="26" fmlaLink="Données!$B$42" fmlaRange="Données!$A$32:$A$40" noThreeD="1" sel="2" val="0"/>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chart" Target="../charts/chart4.xml"/><Relationship Id="rId3" Type="http://schemas.openxmlformats.org/officeDocument/2006/relationships/chart" Target="../charts/chart2.xml"/><Relationship Id="rId7" Type="http://schemas.openxmlformats.org/officeDocument/2006/relationships/image" Target="../media/image6.png"/><Relationship Id="rId2" Type="http://schemas.openxmlformats.org/officeDocument/2006/relationships/chart" Target="../charts/chart1.xml"/><Relationship Id="rId1" Type="http://schemas.openxmlformats.org/officeDocument/2006/relationships/image" Target="../media/image7.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chart" Target="../charts/chart3.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image" Target="../media/image8.png"/><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image" Target="../media/image6.png"/><Relationship Id="rId2" Type="http://schemas.openxmlformats.org/officeDocument/2006/relationships/chart" Target="../charts/chart5.xml"/><Relationship Id="rId1" Type="http://schemas.openxmlformats.org/officeDocument/2006/relationships/image" Target="../media/image7.png"/><Relationship Id="rId6" Type="http://schemas.openxmlformats.org/officeDocument/2006/relationships/chart" Target="../charts/chart9.xml"/><Relationship Id="rId11" Type="http://schemas.openxmlformats.org/officeDocument/2006/relationships/image" Target="../media/image5.png"/><Relationship Id="rId5" Type="http://schemas.openxmlformats.org/officeDocument/2006/relationships/chart" Target="../charts/chart8.xml"/><Relationship Id="rId10" Type="http://schemas.openxmlformats.org/officeDocument/2006/relationships/image" Target="../media/image4.png"/><Relationship Id="rId4" Type="http://schemas.openxmlformats.org/officeDocument/2006/relationships/chart" Target="../charts/chart7.xml"/><Relationship Id="rId9"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xdr:from>
      <xdr:col>0</xdr:col>
      <xdr:colOff>156063</xdr:colOff>
      <xdr:row>21</xdr:row>
      <xdr:rowOff>119429</xdr:rowOff>
    </xdr:from>
    <xdr:to>
      <xdr:col>11</xdr:col>
      <xdr:colOff>346563</xdr:colOff>
      <xdr:row>166</xdr:row>
      <xdr:rowOff>58615</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156063" y="603006"/>
          <a:ext cx="8572500" cy="23583167"/>
        </a:xfrm>
        <a:prstGeom prst="rect">
          <a:avLst/>
        </a:prstGeom>
        <a:solidFill>
          <a:schemeClr val="accent1">
            <a:lumMod val="20000"/>
            <a:lumOff val="8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2000" b="0" i="0" u="none" strike="noStrike">
              <a:solidFill>
                <a:schemeClr val="dk1"/>
              </a:solidFill>
              <a:effectLst/>
              <a:latin typeface="+mn-lt"/>
              <a:ea typeface="+mn-ea"/>
              <a:cs typeface="+mn-cs"/>
            </a:rPr>
            <a:t>Points d'attentions préalables</a:t>
          </a:r>
        </a:p>
        <a:p>
          <a:endParaRPr lang="fr-BE" sz="1100">
            <a:solidFill>
              <a:schemeClr val="dk1"/>
            </a:solidFill>
            <a:effectLst/>
            <a:latin typeface="+mn-lt"/>
            <a:ea typeface="+mn-ea"/>
            <a:cs typeface="+mn-cs"/>
          </a:endParaRPr>
        </a:p>
        <a:p>
          <a:r>
            <a:rPr lang="fr-BE" sz="1100">
              <a:solidFill>
                <a:schemeClr val="dk1"/>
              </a:solidFill>
              <a:effectLst/>
              <a:latin typeface="+mn-lt"/>
              <a:ea typeface="+mn-ea"/>
              <a:cs typeface="+mn-cs"/>
            </a:rPr>
            <a:t>1.</a:t>
          </a:r>
          <a:r>
            <a:rPr lang="fr-BE" sz="1100" baseline="0">
              <a:solidFill>
                <a:schemeClr val="dk1"/>
              </a:solidFill>
              <a:effectLst/>
              <a:latin typeface="+mn-lt"/>
              <a:ea typeface="+mn-ea"/>
              <a:cs typeface="+mn-cs"/>
            </a:rPr>
            <a:t> L</a:t>
          </a:r>
          <a:r>
            <a:rPr lang="fr-BE" sz="1100">
              <a:solidFill>
                <a:schemeClr val="dk1"/>
              </a:solidFill>
              <a:effectLst/>
              <a:latin typeface="+mn-lt"/>
              <a:ea typeface="+mn-ea"/>
              <a:cs typeface="+mn-cs"/>
            </a:rPr>
            <a:t>a méthode de calcul utilisée dans</a:t>
          </a:r>
          <a:r>
            <a:rPr lang="fr-BE" sz="1100" baseline="0">
              <a:solidFill>
                <a:schemeClr val="dk1"/>
              </a:solidFill>
              <a:effectLst/>
              <a:latin typeface="+mn-lt"/>
              <a:ea typeface="+mn-ea"/>
              <a:cs typeface="+mn-cs"/>
            </a:rPr>
            <a:t> l'outil </a:t>
          </a:r>
          <a:r>
            <a:rPr lang="fr-BE" sz="1100">
              <a:solidFill>
                <a:schemeClr val="dk1"/>
              </a:solidFill>
              <a:effectLst/>
              <a:latin typeface="+mn-lt"/>
              <a:ea typeface="+mn-ea"/>
              <a:cs typeface="+mn-cs"/>
            </a:rPr>
            <a:t>ne correspond pas à la méthode réglementaire PEB actuelle. Elle présente une approche simplifiée notamment concernant les déperditions par le sol et vers les espaces contigus non chauffés, ainsi que pour les gains solaires. </a:t>
          </a:r>
        </a:p>
        <a:p>
          <a:endParaRPr lang="fr-BE" sz="1100">
            <a:solidFill>
              <a:schemeClr val="dk1"/>
            </a:solidFill>
            <a:effectLst/>
            <a:latin typeface="+mn-lt"/>
            <a:ea typeface="+mn-ea"/>
            <a:cs typeface="+mn-cs"/>
          </a:endParaRPr>
        </a:p>
        <a:p>
          <a:r>
            <a:rPr lang="fr-BE" sz="1100">
              <a:solidFill>
                <a:schemeClr val="dk1"/>
              </a:solidFill>
              <a:effectLst/>
              <a:latin typeface="+mn-lt"/>
              <a:ea typeface="+mn-ea"/>
              <a:cs typeface="+mn-cs"/>
            </a:rPr>
            <a:t>2.</a:t>
          </a:r>
          <a:r>
            <a:rPr lang="fr-BE" sz="1100" baseline="0">
              <a:solidFill>
                <a:schemeClr val="dk1"/>
              </a:solidFill>
              <a:effectLst/>
              <a:latin typeface="+mn-lt"/>
              <a:ea typeface="+mn-ea"/>
              <a:cs typeface="+mn-cs"/>
            </a:rPr>
            <a:t>  </a:t>
          </a:r>
          <a:r>
            <a:rPr lang="fr-BE" sz="1100">
              <a:solidFill>
                <a:schemeClr val="dk1"/>
              </a:solidFill>
              <a:effectLst/>
              <a:latin typeface="+mn-lt"/>
              <a:ea typeface="+mn-ea"/>
              <a:cs typeface="+mn-cs"/>
            </a:rPr>
            <a:t>Lorsqu’un bâtiment est correctement isolé, le principal risque d’inconfort est déplacé en été ou en mi-saison et se manifeste par de la surchauffe, c’est-à-dire une température intérieure excessive.</a:t>
          </a:r>
        </a:p>
        <a:p>
          <a:r>
            <a:rPr lang="fr-BE" sz="1100">
              <a:solidFill>
                <a:schemeClr val="dk1"/>
              </a:solidFill>
              <a:effectLst/>
              <a:latin typeface="+mn-lt"/>
              <a:ea typeface="+mn-ea"/>
              <a:cs typeface="+mn-cs"/>
            </a:rPr>
            <a:t>L'amélioration énergétique</a:t>
          </a:r>
          <a:r>
            <a:rPr lang="fr-BE" sz="1100" baseline="0">
              <a:solidFill>
                <a:schemeClr val="dk1"/>
              </a:solidFill>
              <a:effectLst/>
              <a:latin typeface="+mn-lt"/>
              <a:ea typeface="+mn-ea"/>
              <a:cs typeface="+mn-cs"/>
            </a:rPr>
            <a:t> d'un bâtiment consiste dès lors aussi à prendre en compte cet aspect : il ne suffit pas de l'isoler pour limiter la consommation d'énergie en saison de chauffe, il faut aussi éviter une consommation liée à son refroidissement en été.</a:t>
          </a:r>
          <a:r>
            <a:rPr lang="fr-BE" sz="1100">
              <a:solidFill>
                <a:schemeClr val="dk1"/>
              </a:solidFill>
              <a:effectLst/>
              <a:latin typeface="+mn-lt"/>
              <a:ea typeface="+mn-ea"/>
              <a:cs typeface="+mn-cs"/>
            </a:rPr>
            <a:t> </a:t>
          </a:r>
        </a:p>
        <a:p>
          <a:r>
            <a:rPr lang="fr-BE" sz="1100">
              <a:solidFill>
                <a:schemeClr val="dk1"/>
              </a:solidFill>
              <a:effectLst/>
              <a:latin typeface="+mn-lt"/>
              <a:ea typeface="+mn-ea"/>
              <a:cs typeface="+mn-cs"/>
            </a:rPr>
            <a:t>Les réflexes</a:t>
          </a:r>
          <a:r>
            <a:rPr lang="fr-BE" sz="1100" baseline="0">
              <a:solidFill>
                <a:schemeClr val="dk1"/>
              </a:solidFill>
              <a:effectLst/>
              <a:latin typeface="+mn-lt"/>
              <a:ea typeface="+mn-ea"/>
              <a:cs typeface="+mn-cs"/>
            </a:rPr>
            <a:t> de base pour l</a:t>
          </a:r>
          <a:r>
            <a:rPr lang="fr-BE" sz="1100">
              <a:solidFill>
                <a:schemeClr val="dk1"/>
              </a:solidFill>
              <a:effectLst/>
              <a:latin typeface="+mn-lt"/>
              <a:ea typeface="+mn-ea"/>
              <a:cs typeface="+mn-cs"/>
            </a:rPr>
            <a:t>imiter les risques de surchauffe sont :</a:t>
          </a:r>
        </a:p>
        <a:p>
          <a:pPr lvl="0"/>
          <a:r>
            <a:rPr lang="fr-BE" sz="1100">
              <a:solidFill>
                <a:schemeClr val="dk1"/>
              </a:solidFill>
              <a:effectLst/>
              <a:latin typeface="+mn-lt"/>
              <a:ea typeface="+mn-ea"/>
              <a:cs typeface="+mn-cs"/>
            </a:rPr>
            <a:t>- Protéger toutes les fenêtres entre l’est et l’ouest au moyen de protections solaires. Si celles-ci sont mobiles, elles devraient être automatisées.</a:t>
          </a:r>
        </a:p>
        <a:p>
          <a:pPr lvl="0"/>
          <a:r>
            <a:rPr lang="fr-BE" sz="1100">
              <a:solidFill>
                <a:schemeClr val="dk1"/>
              </a:solidFill>
              <a:effectLst/>
              <a:latin typeface="+mn-lt"/>
              <a:ea typeface="+mn-ea"/>
              <a:cs typeface="+mn-cs"/>
            </a:rPr>
            <a:t>- Favoriser l’inertie thermique accessible. </a:t>
          </a:r>
        </a:p>
        <a:p>
          <a:pPr lvl="0"/>
          <a:r>
            <a:rPr lang="fr-BE" sz="1100">
              <a:solidFill>
                <a:schemeClr val="dk1"/>
              </a:solidFill>
              <a:effectLst/>
              <a:latin typeface="+mn-lt"/>
              <a:ea typeface="+mn-ea"/>
              <a:cs typeface="+mn-cs"/>
            </a:rPr>
            <a:t>- Prévoir un rafraîchissement nocturne</a:t>
          </a:r>
        </a:p>
        <a:p>
          <a:pPr lvl="0"/>
          <a:r>
            <a:rPr lang="fr-BE" sz="1100">
              <a:solidFill>
                <a:schemeClr val="dk1"/>
              </a:solidFill>
              <a:effectLst/>
              <a:latin typeface="+mn-lt"/>
              <a:ea typeface="+mn-ea"/>
              <a:cs typeface="+mn-cs"/>
            </a:rPr>
            <a:t>- Limiter les apports internes (efficacité de éclairage, sobriété de l'équipement informatique,..)</a:t>
          </a:r>
        </a:p>
        <a:p>
          <a:r>
            <a:rPr lang="fr-BE" sz="1100">
              <a:solidFill>
                <a:schemeClr val="dk1"/>
              </a:solidFill>
              <a:effectLst/>
              <a:latin typeface="+mn-lt"/>
              <a:ea typeface="+mn-ea"/>
              <a:cs typeface="+mn-cs"/>
            </a:rPr>
            <a:t>Ces quatres actions ne sont pas dissociables,</a:t>
          </a:r>
          <a:r>
            <a:rPr lang="fr-BE" sz="1100" baseline="0">
              <a:solidFill>
                <a:schemeClr val="dk1"/>
              </a:solidFill>
              <a:effectLst/>
              <a:latin typeface="+mn-lt"/>
              <a:ea typeface="+mn-ea"/>
              <a:cs typeface="+mn-cs"/>
            </a:rPr>
            <a:t> sauf si une simulation dynamique a permis de mettre en évidence une autre stratégie</a:t>
          </a:r>
          <a:r>
            <a:rPr lang="fr-BE" sz="1100">
              <a:solidFill>
                <a:schemeClr val="dk1"/>
              </a:solidFill>
              <a:effectLst/>
              <a:latin typeface="+mn-lt"/>
              <a:ea typeface="+mn-ea"/>
              <a:cs typeface="+mn-cs"/>
            </a:rPr>
            <a:t>. </a:t>
          </a:r>
        </a:p>
        <a:p>
          <a:endParaRPr lang="fr-BE" sz="2000" b="0" i="0" u="none" strike="noStrike">
            <a:solidFill>
              <a:schemeClr val="dk1"/>
            </a:solidFill>
            <a:effectLst/>
            <a:latin typeface="+mn-lt"/>
            <a:ea typeface="+mn-ea"/>
            <a:cs typeface="+mn-cs"/>
          </a:endParaRPr>
        </a:p>
        <a:p>
          <a:r>
            <a:rPr lang="fr-BE" sz="2000" b="0" i="0" u="none" strike="noStrike">
              <a:solidFill>
                <a:schemeClr val="dk1"/>
              </a:solidFill>
              <a:effectLst/>
              <a:latin typeface="+mn-lt"/>
              <a:ea typeface="+mn-ea"/>
              <a:cs typeface="+mn-cs"/>
            </a:rPr>
            <a:t>Mode d'emploi</a:t>
          </a:r>
          <a:r>
            <a:rPr lang="fr-BE" sz="2000" b="0" i="0" u="none" strike="noStrike" baseline="0">
              <a:solidFill>
                <a:schemeClr val="dk1"/>
              </a:solidFill>
              <a:effectLst/>
              <a:latin typeface="+mn-lt"/>
              <a:ea typeface="+mn-ea"/>
              <a:cs typeface="+mn-cs"/>
            </a:rPr>
            <a:t> de l'o</a:t>
          </a:r>
          <a:r>
            <a:rPr lang="fr-BE" sz="2000" b="0" i="0" u="none" strike="noStrike">
              <a:solidFill>
                <a:schemeClr val="dk1"/>
              </a:solidFill>
              <a:effectLst/>
              <a:latin typeface="+mn-lt"/>
              <a:ea typeface="+mn-ea"/>
              <a:cs typeface="+mn-cs"/>
            </a:rPr>
            <a:t>util d'audit énergétique "stratégie wallonne</a:t>
          </a:r>
          <a:r>
            <a:rPr lang="fr-BE" sz="2000" b="0" i="0" u="none" strike="noStrike" baseline="0">
              <a:solidFill>
                <a:schemeClr val="dk1"/>
              </a:solidFill>
              <a:effectLst/>
              <a:latin typeface="+mn-lt"/>
              <a:ea typeface="+mn-ea"/>
              <a:cs typeface="+mn-cs"/>
            </a:rPr>
            <a:t> </a:t>
          </a:r>
          <a:r>
            <a:rPr lang="fr-BE" sz="2000" b="0" i="0" u="none" strike="noStrike">
              <a:solidFill>
                <a:schemeClr val="dk1"/>
              </a:solidFill>
              <a:effectLst/>
              <a:latin typeface="+mn-lt"/>
              <a:ea typeface="+mn-ea"/>
              <a:cs typeface="+mn-cs"/>
            </a:rPr>
            <a:t>de rénovation tertiaire"</a:t>
          </a:r>
          <a:endParaRPr lang="fr-BE" sz="2000"/>
        </a:p>
        <a:p>
          <a:endParaRPr lang="fr-BE" sz="1100" b="0" i="0" u="none" strike="noStrike">
            <a:solidFill>
              <a:schemeClr val="dk1"/>
            </a:solidFill>
            <a:effectLst/>
            <a:latin typeface="+mn-lt"/>
            <a:ea typeface="+mn-ea"/>
            <a:cs typeface="+mn-cs"/>
          </a:endParaRPr>
        </a:p>
        <a:p>
          <a:endParaRPr lang="fr-BE" sz="1100" b="0" i="0" u="none" strike="noStrike">
            <a:solidFill>
              <a:schemeClr val="dk1"/>
            </a:solidFill>
            <a:effectLst/>
            <a:latin typeface="+mn-lt"/>
            <a:ea typeface="+mn-ea"/>
            <a:cs typeface="+mn-cs"/>
          </a:endParaRPr>
        </a:p>
        <a:p>
          <a:r>
            <a:rPr lang="fr-BE" sz="1100" b="0" i="0" u="none" strike="noStrike">
              <a:solidFill>
                <a:schemeClr val="dk1"/>
              </a:solidFill>
              <a:effectLst/>
              <a:latin typeface="+mn-lt"/>
              <a:ea typeface="+mn-ea"/>
              <a:cs typeface="+mn-cs"/>
            </a:rPr>
            <a:t>Objectif  : cet outil est une aide à l'élaboration d'un scénario de rénovation énergétique d'un bâtiment dans une vision à long terme.</a:t>
          </a:r>
          <a:r>
            <a:rPr lang="fr-BE"/>
            <a:t> </a:t>
          </a:r>
          <a:r>
            <a:rPr lang="fr-BE" sz="1100" b="0" i="0" u="none" strike="noStrike">
              <a:solidFill>
                <a:schemeClr val="dk1"/>
              </a:solidFill>
              <a:effectLst/>
              <a:latin typeface="+mn-lt"/>
              <a:ea typeface="+mn-ea"/>
              <a:cs typeface="+mn-cs"/>
            </a:rPr>
            <a:t>Il permet d'évaluer si les différentes amélioration proposées par l'auditeur sont compatibles ave</a:t>
          </a:r>
          <a:r>
            <a:rPr lang="fr-BE" sz="1100" b="0" i="0" u="none" strike="noStrike" baseline="0">
              <a:solidFill>
                <a:schemeClr val="dk1"/>
              </a:solidFill>
              <a:effectLst/>
              <a:latin typeface="+mn-lt"/>
              <a:ea typeface="+mn-ea"/>
              <a:cs typeface="+mn-cs"/>
            </a:rPr>
            <a:t>c les objectifs de neutralité carbone de la stratégie wallonne de rénovation.  </a:t>
          </a:r>
          <a:endParaRPr lang="fr-BE"/>
        </a:p>
        <a:p>
          <a:endParaRPr lang="fr-BE" sz="1100" b="1" i="0" u="none" strike="noStrike">
            <a:solidFill>
              <a:schemeClr val="dk1"/>
            </a:solidFill>
            <a:effectLst/>
            <a:latin typeface="+mn-lt"/>
            <a:ea typeface="+mn-ea"/>
            <a:cs typeface="+mn-cs"/>
          </a:endParaRPr>
        </a:p>
        <a:p>
          <a:r>
            <a:rPr lang="fr-BE" sz="1400" b="1" i="0" u="none" strike="noStrike">
              <a:solidFill>
                <a:schemeClr val="dk1"/>
              </a:solidFill>
              <a:effectLst/>
              <a:latin typeface="+mn-lt"/>
              <a:ea typeface="+mn-ea"/>
              <a:cs typeface="+mn-cs"/>
            </a:rPr>
            <a:t>Comment l'utiliser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p>
        <a:p>
          <a:r>
            <a:rPr lang="fr-BE" sz="1100" b="0" i="0" u="none" strike="noStrike">
              <a:solidFill>
                <a:schemeClr val="dk1"/>
              </a:solidFill>
              <a:effectLst/>
              <a:latin typeface="+mn-lt"/>
              <a:ea typeface="+mn-ea"/>
              <a:cs typeface="+mn-cs"/>
            </a:rPr>
            <a:t>Cet outil se compose de différents onglets : </a:t>
          </a:r>
          <a:r>
            <a:rPr lang="fr-BE" sz="1100" b="1" i="1" u="none" strike="noStrike">
              <a:solidFill>
                <a:schemeClr val="dk1"/>
              </a:solidFill>
              <a:effectLst/>
              <a:latin typeface="+mn-lt"/>
              <a:ea typeface="+mn-ea"/>
              <a:cs typeface="+mn-cs"/>
            </a:rPr>
            <a:t>Mode d'emploi</a:t>
          </a:r>
          <a:r>
            <a:rPr lang="fr-BE" sz="1100" b="0" i="0" u="none" strike="noStrike">
              <a:solidFill>
                <a:schemeClr val="dk1"/>
              </a:solidFill>
              <a:effectLst/>
              <a:latin typeface="+mn-lt"/>
              <a:ea typeface="+mn-ea"/>
              <a:cs typeface="+mn-cs"/>
            </a:rPr>
            <a:t> (celui-ci), </a:t>
          </a:r>
          <a:r>
            <a:rPr lang="fr-BE" sz="1100" b="1" i="1" u="none" strike="noStrike">
              <a:solidFill>
                <a:schemeClr val="dk1"/>
              </a:solidFill>
              <a:effectLst/>
              <a:latin typeface="+mn-lt"/>
              <a:ea typeface="+mn-ea"/>
              <a:cs typeface="+mn-cs"/>
            </a:rPr>
            <a:t>Situation Initiale</a:t>
          </a:r>
          <a:r>
            <a:rPr lang="fr-BE" sz="1100" b="0" i="0" u="none" strike="noStrike">
              <a:solidFill>
                <a:schemeClr val="dk1"/>
              </a:solidFill>
              <a:effectLst/>
              <a:latin typeface="+mn-lt"/>
              <a:ea typeface="+mn-ea"/>
              <a:cs typeface="+mn-cs"/>
            </a:rPr>
            <a:t> où l'on va encoder les paramètres caractérisant le</a:t>
          </a:r>
          <a:r>
            <a:rPr lang="fr-BE"/>
            <a:t> </a:t>
          </a:r>
          <a:r>
            <a:rPr lang="fr-BE" sz="1100" b="0" i="0" u="none" strike="noStrike">
              <a:solidFill>
                <a:schemeClr val="dk1"/>
              </a:solidFill>
              <a:effectLst/>
              <a:latin typeface="+mn-lt"/>
              <a:ea typeface="+mn-ea"/>
              <a:cs typeface="+mn-cs"/>
            </a:rPr>
            <a:t>bâtiment, </a:t>
          </a:r>
          <a:r>
            <a:rPr lang="fr-BE" sz="1100" b="1" i="1" u="none" strike="noStrike">
              <a:solidFill>
                <a:schemeClr val="dk1"/>
              </a:solidFill>
              <a:effectLst/>
              <a:latin typeface="+mn-lt"/>
              <a:ea typeface="+mn-ea"/>
              <a:cs typeface="+mn-cs"/>
            </a:rPr>
            <a:t>Situation Finale</a:t>
          </a:r>
          <a:r>
            <a:rPr lang="fr-BE" sz="1100" b="0" i="0" u="none" strike="noStrike">
              <a:solidFill>
                <a:schemeClr val="dk1"/>
              </a:solidFill>
              <a:effectLst/>
              <a:latin typeface="+mn-lt"/>
              <a:ea typeface="+mn-ea"/>
              <a:cs typeface="+mn-cs"/>
            </a:rPr>
            <a:t> où l'on encode les paramètres pour les exigences fixées,</a:t>
          </a:r>
          <a:r>
            <a:rPr lang="fr-BE" sz="1100" b="1" i="0" u="none" strike="noStrike">
              <a:solidFill>
                <a:schemeClr val="dk1"/>
              </a:solidFill>
              <a:effectLst/>
              <a:latin typeface="+mn-lt"/>
              <a:ea typeface="+mn-ea"/>
              <a:cs typeface="+mn-cs"/>
            </a:rPr>
            <a:t> </a:t>
          </a:r>
          <a:r>
            <a:rPr lang="fr-BE" sz="1100" b="1" i="1" u="none" strike="noStrike">
              <a:solidFill>
                <a:schemeClr val="dk1"/>
              </a:solidFill>
              <a:effectLst/>
              <a:latin typeface="+mn-lt"/>
              <a:ea typeface="+mn-ea"/>
              <a:cs typeface="+mn-cs"/>
            </a:rPr>
            <a:t>Données</a:t>
          </a:r>
          <a:r>
            <a:rPr lang="fr-BE" sz="1100" b="0" i="0" u="none" strike="noStrike">
              <a:solidFill>
                <a:schemeClr val="dk1"/>
              </a:solidFill>
              <a:effectLst/>
              <a:latin typeface="+mn-lt"/>
              <a:ea typeface="+mn-ea"/>
              <a:cs typeface="+mn-cs"/>
            </a:rPr>
            <a:t> qui contient des chiffres nécessaires aux </a:t>
          </a:r>
          <a:r>
            <a:rPr lang="fr-BE"/>
            <a:t> </a:t>
          </a:r>
          <a:r>
            <a:rPr lang="fr-BE" sz="1100" b="0" i="0" u="none" strike="noStrike">
              <a:solidFill>
                <a:schemeClr val="dk1"/>
              </a:solidFill>
              <a:effectLst/>
              <a:latin typeface="+mn-lt"/>
              <a:ea typeface="+mn-ea"/>
              <a:cs typeface="+mn-cs"/>
            </a:rPr>
            <a:t>calculs, </a:t>
          </a:r>
          <a:r>
            <a:rPr lang="fr-BE" sz="1100" b="1" i="1" u="none" strike="noStrike">
              <a:solidFill>
                <a:schemeClr val="dk1"/>
              </a:solidFill>
              <a:effectLst/>
              <a:latin typeface="+mn-lt"/>
              <a:ea typeface="+mn-ea"/>
              <a:cs typeface="+mn-cs"/>
            </a:rPr>
            <a:t>Parois types</a:t>
          </a:r>
          <a:r>
            <a:rPr lang="fr-BE" sz="1100" b="0" i="0" u="none" strike="noStrike">
              <a:solidFill>
                <a:schemeClr val="dk1"/>
              </a:solidFill>
              <a:effectLst/>
              <a:latin typeface="+mn-lt"/>
              <a:ea typeface="+mn-ea"/>
              <a:cs typeface="+mn-cs"/>
            </a:rPr>
            <a:t> qui donnent une indication des U par type de paroi, et</a:t>
          </a:r>
          <a:r>
            <a:rPr lang="fr-BE" sz="1100" b="1" i="0" u="none" strike="noStrike">
              <a:solidFill>
                <a:schemeClr val="dk1"/>
              </a:solidFill>
              <a:effectLst/>
              <a:latin typeface="+mn-lt"/>
              <a:ea typeface="+mn-ea"/>
              <a:cs typeface="+mn-cs"/>
            </a:rPr>
            <a:t> </a:t>
          </a:r>
          <a:r>
            <a:rPr lang="fr-BE" sz="1100" b="1" i="1" u="none" strike="noStrike">
              <a:solidFill>
                <a:schemeClr val="dk1"/>
              </a:solidFill>
              <a:effectLst/>
              <a:latin typeface="+mn-lt"/>
              <a:ea typeface="+mn-ea"/>
              <a:cs typeface="+mn-cs"/>
            </a:rPr>
            <a:t>Liste des communes</a:t>
          </a:r>
          <a:r>
            <a:rPr lang="fr-BE" sz="1100" b="0" i="0" u="none" strike="noStrike">
              <a:solidFill>
                <a:schemeClr val="dk1"/>
              </a:solidFill>
              <a:effectLst/>
              <a:latin typeface="+mn-lt"/>
              <a:ea typeface="+mn-ea"/>
              <a:cs typeface="+mn-cs"/>
            </a:rPr>
            <a:t> qui est une liste des températures des</a:t>
          </a:r>
          <a:r>
            <a:rPr lang="fr-BE"/>
            <a:t> </a:t>
          </a:r>
          <a:r>
            <a:rPr lang="fr-BE" sz="1100" b="0" i="0" u="none" strike="noStrike">
              <a:solidFill>
                <a:schemeClr val="dk1"/>
              </a:solidFill>
              <a:effectLst/>
              <a:latin typeface="+mn-lt"/>
              <a:ea typeface="+mn-ea"/>
              <a:cs typeface="+mn-cs"/>
            </a:rPr>
            <a:t> communes aussi utile pour les calculs.</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0" i="0" u="none" strike="noStrike">
              <a:solidFill>
                <a:srgbClr val="FF0000"/>
              </a:solidFill>
              <a:effectLst/>
              <a:latin typeface="+mn-lt"/>
              <a:ea typeface="+mn-ea"/>
              <a:cs typeface="+mn-cs"/>
            </a:rPr>
            <a:t>Attention, il ne faut toucher qu'aux onglets </a:t>
          </a:r>
          <a:r>
            <a:rPr lang="fr-BE" sz="1100" b="1" i="0" u="none" strike="noStrike">
              <a:solidFill>
                <a:srgbClr val="FF0000"/>
              </a:solidFill>
              <a:effectLst/>
              <a:latin typeface="+mn-lt"/>
              <a:ea typeface="+mn-ea"/>
              <a:cs typeface="+mn-cs"/>
            </a:rPr>
            <a:t>Situation Initiale </a:t>
          </a:r>
          <a:r>
            <a:rPr lang="fr-BE" sz="1100" b="0" i="0" u="none" strike="noStrike">
              <a:solidFill>
                <a:srgbClr val="FF0000"/>
              </a:solidFill>
              <a:effectLst/>
              <a:latin typeface="+mn-lt"/>
              <a:ea typeface="+mn-ea"/>
              <a:cs typeface="+mn-cs"/>
            </a:rPr>
            <a:t>et </a:t>
          </a:r>
          <a:r>
            <a:rPr lang="fr-BE" sz="1100" b="1" i="0" u="none" strike="noStrike">
              <a:solidFill>
                <a:srgbClr val="FF0000"/>
              </a:solidFill>
              <a:effectLst/>
              <a:latin typeface="+mn-lt"/>
              <a:ea typeface="+mn-ea"/>
              <a:cs typeface="+mn-cs"/>
            </a:rPr>
            <a:t>Situation Rénovée</a:t>
          </a:r>
          <a:r>
            <a:rPr lang="fr-BE" sz="1100" b="0" i="0" u="none" strike="noStrike">
              <a:solidFill>
                <a:srgbClr val="FF0000"/>
              </a:solidFill>
              <a:effectLst/>
              <a:latin typeface="+mn-lt"/>
              <a:ea typeface="+mn-ea"/>
              <a:cs typeface="+mn-cs"/>
            </a:rPr>
            <a:t>. Un changement dans d'autres onglets pourrait perturber</a:t>
          </a:r>
          <a:r>
            <a:rPr lang="fr-BE">
              <a:solidFill>
                <a:srgbClr val="FF0000"/>
              </a:solidFill>
            </a:rPr>
            <a:t> </a:t>
          </a:r>
          <a:r>
            <a:rPr lang="fr-BE" sz="1100" b="0" i="0" u="none" strike="noStrike">
              <a:solidFill>
                <a:srgbClr val="FF0000"/>
              </a:solidFill>
              <a:effectLst/>
              <a:latin typeface="+mn-lt"/>
              <a:ea typeface="+mn-ea"/>
              <a:cs typeface="+mn-cs"/>
            </a:rPr>
            <a:t>les formules utilisées pour les calculs de l'outil. Il faut encoder les données uniquement dans les cases bleues. Les cases jaunes sont </a:t>
          </a:r>
          <a:r>
            <a:rPr lang="fr-BE">
              <a:solidFill>
                <a:srgbClr val="FF0000"/>
              </a:solidFill>
            </a:rPr>
            <a:t> </a:t>
          </a:r>
          <a:r>
            <a:rPr lang="fr-BE" sz="1100" b="0" i="0" u="none" strike="noStrike">
              <a:solidFill>
                <a:srgbClr val="FF0000"/>
              </a:solidFill>
              <a:effectLst/>
              <a:latin typeface="+mn-lt"/>
              <a:ea typeface="+mn-ea"/>
              <a:cs typeface="+mn-cs"/>
            </a:rPr>
            <a:t>destinées aux résultats calculés par l'outil.</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p>
        <a:p>
          <a:endParaRPr lang="fr-BE" sz="1100" b="1" i="0" u="none" strike="noStrike">
            <a:solidFill>
              <a:schemeClr val="dk1"/>
            </a:solidFill>
            <a:effectLst/>
            <a:latin typeface="+mn-lt"/>
            <a:ea typeface="+mn-ea"/>
            <a:cs typeface="+mn-cs"/>
          </a:endParaRPr>
        </a:p>
        <a:p>
          <a:r>
            <a:rPr lang="fr-BE" sz="1400" b="1" i="0" u="none" strike="noStrike">
              <a:solidFill>
                <a:schemeClr val="dk1"/>
              </a:solidFill>
              <a:effectLst/>
              <a:latin typeface="+mn-lt"/>
              <a:ea typeface="+mn-ea"/>
              <a:cs typeface="+mn-cs"/>
            </a:rPr>
            <a:t>Situation Initiale</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r>
            <a:rPr lang="fr-BE" sz="1400" b="0" i="0" u="none" strike="noStrike">
              <a:solidFill>
                <a:schemeClr val="dk1"/>
              </a:solidFill>
              <a:effectLst/>
              <a:latin typeface="+mn-lt"/>
              <a:ea typeface="+mn-ea"/>
              <a:cs typeface="+mn-cs"/>
            </a:rPr>
            <a:t> </a:t>
          </a:r>
          <a:r>
            <a:rPr lang="fr-BE" sz="1400"/>
            <a:t> </a:t>
          </a:r>
        </a:p>
        <a:p>
          <a:r>
            <a:rPr lang="fr-BE" sz="1100" b="0" i="0" u="none" strike="noStrike">
              <a:solidFill>
                <a:schemeClr val="dk1"/>
              </a:solidFill>
              <a:effectLst/>
              <a:latin typeface="+mn-lt"/>
              <a:ea typeface="+mn-ea"/>
              <a:cs typeface="+mn-cs"/>
            </a:rPr>
            <a:t>Dans cet onglet, on va donc essayer de caractériser le plus précisément possible notre bâtiment tel qu'il est actuellement dans le but</a:t>
          </a:r>
          <a:r>
            <a:rPr lang="fr-BE"/>
            <a:t> </a:t>
          </a:r>
          <a:r>
            <a:rPr lang="fr-BE" sz="1100" b="0" i="0" u="none" strike="noStrike">
              <a:solidFill>
                <a:schemeClr val="dk1"/>
              </a:solidFill>
              <a:effectLst/>
              <a:latin typeface="+mn-lt"/>
              <a:ea typeface="+mn-ea"/>
              <a:cs typeface="+mn-cs"/>
            </a:rPr>
            <a:t>d'identifier puis de chiffrer les différents apports et pertes thermiques.</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p>
        <a:p>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none" strike="noStrike">
              <a:solidFill>
                <a:schemeClr val="dk1"/>
              </a:solidFill>
              <a:effectLst/>
              <a:latin typeface="+mn-lt"/>
              <a:ea typeface="+mn-ea"/>
              <a:cs typeface="+mn-cs"/>
            </a:rPr>
            <a:t>1. Encodage des consommations de combustible réelles dédiées au chauffage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endParaRPr lang="fr-BE"/>
        </a:p>
        <a:p>
          <a:r>
            <a:rPr lang="fr-BE" sz="1100" b="0" i="0" u="none" strike="noStrike">
              <a:solidFill>
                <a:schemeClr val="dk1"/>
              </a:solidFill>
              <a:effectLst/>
              <a:latin typeface="+mn-lt"/>
              <a:ea typeface="+mn-ea"/>
              <a:cs typeface="+mn-cs"/>
            </a:rPr>
            <a:t>Il faut ici encoder les données relatives au combustible.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p>
        <a:p>
          <a:r>
            <a:rPr lang="fr-BE" sz="1100" b="0" i="0" u="sng" strike="noStrike">
              <a:solidFill>
                <a:schemeClr val="dk1"/>
              </a:solidFill>
              <a:effectLst/>
              <a:latin typeface="+mn-lt"/>
              <a:ea typeface="+mn-ea"/>
              <a:cs typeface="+mn-cs"/>
            </a:rPr>
            <a:t>a) Nature Combustible :</a:t>
          </a:r>
          <a:r>
            <a:rPr lang="fr-BE" sz="1100" b="0" i="0" u="none" strike="noStrike">
              <a:solidFill>
                <a:schemeClr val="dk1"/>
              </a:solidFill>
              <a:effectLst/>
              <a:latin typeface="+mn-lt"/>
              <a:ea typeface="+mn-ea"/>
              <a:cs typeface="+mn-cs"/>
            </a:rPr>
            <a:t> Renseigner le type de combustible consommé à l'aide de la liste déroulante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0" i="0" u="sng" strike="noStrike">
              <a:solidFill>
                <a:schemeClr val="dk1"/>
              </a:solidFill>
              <a:effectLst/>
              <a:latin typeface="+mn-lt"/>
              <a:ea typeface="+mn-ea"/>
              <a:cs typeface="+mn-cs"/>
            </a:rPr>
            <a:t>b) Consommation annuelle pour le chauffage :</a:t>
          </a:r>
          <a:r>
            <a:rPr lang="fr-BE" sz="1100" b="0" i="0" u="none" strike="noStrike">
              <a:solidFill>
                <a:schemeClr val="dk1"/>
              </a:solidFill>
              <a:effectLst/>
              <a:latin typeface="+mn-lt"/>
              <a:ea typeface="+mn-ea"/>
              <a:cs typeface="+mn-cs"/>
            </a:rPr>
            <a:t> Indiquer le chiffre de consommation ANNUELLE en kWh (indiqué sur facture)</a:t>
          </a:r>
          <a:r>
            <a:rPr lang="fr-BE"/>
            <a:t> </a:t>
          </a:r>
          <a:r>
            <a:rPr lang="fr-BE" sz="1100" b="0" i="0" u="none" strike="noStrike">
              <a:solidFill>
                <a:schemeClr val="dk1"/>
              </a:solidFill>
              <a:effectLst/>
              <a:latin typeface="+mn-lt"/>
              <a:ea typeface="+mn-ea"/>
              <a:cs typeface="+mn-cs"/>
            </a:rPr>
            <a:t> </a:t>
          </a:r>
          <a:r>
            <a:rPr lang="fr-BE"/>
            <a:t> </a:t>
          </a:r>
        </a:p>
        <a:p>
          <a:r>
            <a:rPr lang="fr-BE" sz="1100" b="0" i="0" u="sng" strike="noStrike">
              <a:solidFill>
                <a:schemeClr val="dk1"/>
              </a:solidFill>
              <a:effectLst/>
              <a:latin typeface="+mn-lt"/>
              <a:ea typeface="+mn-ea"/>
              <a:cs typeface="+mn-cs"/>
            </a:rPr>
            <a:t>c) Coût Combustible :</a:t>
          </a:r>
          <a:r>
            <a:rPr lang="fr-BE" sz="1100" b="0" i="0" u="none" strike="noStrike">
              <a:solidFill>
                <a:schemeClr val="dk1"/>
              </a:solidFill>
              <a:effectLst/>
              <a:latin typeface="+mn-lt"/>
              <a:ea typeface="+mn-ea"/>
              <a:cs typeface="+mn-cs"/>
            </a:rPr>
            <a:t> Indiquer le coût du combustible €/kWh (diviser la consommation annuelle par le montant indiqué sur la facture</a:t>
          </a:r>
          <a:r>
            <a:rPr lang="fr-BE" sz="1100" b="0" i="0" u="sng" strike="noStrike">
              <a:solidFill>
                <a:schemeClr val="dk1"/>
              </a:solidFill>
              <a:effectLst/>
              <a:latin typeface="+mn-lt"/>
              <a:ea typeface="+mn-ea"/>
              <a:cs typeface="+mn-cs"/>
            </a:rPr>
            <a:t>).</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p>
        <a:p>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p>
        <a:p>
          <a:r>
            <a:rPr lang="fr-BE" sz="1100" b="1" i="0" u="none" strike="noStrike">
              <a:solidFill>
                <a:schemeClr val="dk1"/>
              </a:solidFill>
              <a:effectLst/>
              <a:latin typeface="+mn-lt"/>
              <a:ea typeface="+mn-ea"/>
              <a:cs typeface="+mn-cs"/>
            </a:rPr>
            <a:t>2. Caractéristiques de l'enveloppe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0" i="0" u="none" strike="noStrike">
              <a:solidFill>
                <a:schemeClr val="dk1"/>
              </a:solidFill>
              <a:effectLst/>
              <a:latin typeface="+mn-lt"/>
              <a:ea typeface="+mn-ea"/>
              <a:cs typeface="+mn-cs"/>
            </a:rPr>
            <a:t>Ici on va encoder les surfaces et les performances énergétiques de l'enveloppe. Dans le bâtiment on a différents types de parois (fenêtres, </a:t>
          </a:r>
          <a:r>
            <a:rPr lang="fr-BE"/>
            <a:t> </a:t>
          </a:r>
          <a:r>
            <a:rPr lang="fr-BE" sz="1100" b="0" i="0" u="none" strike="noStrike">
              <a:solidFill>
                <a:schemeClr val="dk1"/>
              </a:solidFill>
              <a:effectLst/>
              <a:latin typeface="+mn-lt"/>
              <a:ea typeface="+mn-ea"/>
              <a:cs typeface="+mn-cs"/>
            </a:rPr>
            <a:t>murs, toit, sol) qui ont des propriétés et  performances énergétiques différentes. On va  donc les considérer séparément.</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a) Fenêtres :</a:t>
          </a:r>
          <a:r>
            <a:rPr lang="fr-BE" sz="1100" b="0" i="0" u="none" strike="noStrike">
              <a:solidFill>
                <a:schemeClr val="dk1"/>
              </a:solidFill>
              <a:effectLst/>
              <a:latin typeface="+mn-lt"/>
              <a:ea typeface="+mn-ea"/>
              <a:cs typeface="+mn-cs"/>
            </a:rPr>
            <a:t> Les fenêtres sont à la fois des sources importantes de chaleur, car elles laissent passer une partie du rayonnement solaire, </a:t>
          </a:r>
          <a:r>
            <a:rPr lang="fr-BE"/>
            <a:t> </a:t>
          </a:r>
          <a:r>
            <a:rPr lang="fr-BE" sz="1100" b="0" i="0" u="none" strike="noStrike">
              <a:solidFill>
                <a:schemeClr val="dk1"/>
              </a:solidFill>
              <a:effectLst/>
              <a:latin typeface="+mn-lt"/>
              <a:ea typeface="+mn-ea"/>
              <a:cs typeface="+mn-cs"/>
            </a:rPr>
            <a:t>mais elles sont aussi à la source de grandes déperditions thermiques de par leur faible épaisseur. Il est alors important de bien identifier les</a:t>
          </a:r>
          <a:r>
            <a:rPr lang="fr-BE"/>
            <a:t> </a:t>
          </a:r>
          <a:r>
            <a:rPr lang="fr-BE" sz="1100" b="0" i="0" u="none" strike="noStrike">
              <a:solidFill>
                <a:schemeClr val="dk1"/>
              </a:solidFill>
              <a:effectLst/>
              <a:latin typeface="+mn-lt"/>
              <a:ea typeface="+mn-ea"/>
              <a:cs typeface="+mn-cs"/>
            </a:rPr>
            <a:t>types de vitrages présents dans le bâtiment pour avoir les bonnes valeurs U*.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0" i="0" u="none" strike="noStrike">
              <a:solidFill>
                <a:schemeClr val="dk1"/>
              </a:solidFill>
              <a:effectLst/>
              <a:latin typeface="+mn-lt"/>
              <a:ea typeface="+mn-ea"/>
              <a:cs typeface="+mn-cs"/>
            </a:rPr>
            <a:t>On retrouve dans le tableau reprenant les éléments de l'enveloppe la première case dédiée aux fenêtres. Dans ce tableau, des colonnes</a:t>
          </a:r>
          <a:r>
            <a:rPr lang="fr-BE"/>
            <a:t> </a:t>
          </a:r>
          <a:r>
            <a:rPr lang="fr-BE" sz="1100" b="0" i="0" u="none" strike="noStrike">
              <a:solidFill>
                <a:schemeClr val="dk1"/>
              </a:solidFill>
              <a:effectLst/>
              <a:latin typeface="+mn-lt"/>
              <a:ea typeface="+mn-ea"/>
              <a:cs typeface="+mn-cs"/>
            </a:rPr>
            <a:t>indiquant la valeur U, l'aire, le facteur solaire, le pourcentage d'ombrage, et l'orientation. L'idée est d'encoder dans chaque ligne des types</a:t>
          </a:r>
          <a:r>
            <a:rPr lang="fr-BE"/>
            <a:t> </a:t>
          </a:r>
          <a:r>
            <a:rPr lang="fr-BE" sz="1100" b="0" i="0" u="none" strike="noStrike">
              <a:solidFill>
                <a:schemeClr val="dk1"/>
              </a:solidFill>
              <a:effectLst/>
              <a:latin typeface="+mn-lt"/>
              <a:ea typeface="+mn-ea"/>
              <a:cs typeface="+mn-cs"/>
            </a:rPr>
            <a:t>de fenêtres présentant les mêmes caractéristiques (U, orientation, facteur solaire, ombrage). La valeur U de la fenêtre peut souvent se </a:t>
          </a:r>
          <a:r>
            <a:rPr lang="fr-BE"/>
            <a:t> </a:t>
          </a:r>
          <a:r>
            <a:rPr lang="fr-BE" sz="1100" b="0" i="0" u="none" strike="noStrike">
              <a:solidFill>
                <a:schemeClr val="dk1"/>
              </a:solidFill>
              <a:effectLst/>
              <a:latin typeface="+mn-lt"/>
              <a:ea typeface="+mn-ea"/>
              <a:cs typeface="+mn-cs"/>
            </a:rPr>
            <a:t>trouver avec la référence (indiquée sur le joint entre les 2 vitrages). Si vous ne parvenez par à la trouver, vous pouvez consulter l'onglet</a:t>
          </a:r>
          <a:r>
            <a:rPr lang="fr-BE"/>
            <a:t> </a:t>
          </a:r>
          <a:r>
            <a:rPr lang="fr-BE" sz="1100" b="0" i="1" u="none" strike="noStrike">
              <a:solidFill>
                <a:schemeClr val="dk1"/>
              </a:solidFill>
              <a:effectLst/>
              <a:latin typeface="+mn-lt"/>
              <a:ea typeface="+mn-ea"/>
              <a:cs typeface="+mn-cs"/>
            </a:rPr>
            <a:t>Parois types</a:t>
          </a:r>
          <a:r>
            <a:rPr lang="fr-BE" sz="1100" b="0" i="0" u="none" strike="noStrike">
              <a:solidFill>
                <a:schemeClr val="dk1"/>
              </a:solidFill>
              <a:effectLst/>
              <a:latin typeface="+mn-lt"/>
              <a:ea typeface="+mn-ea"/>
              <a:cs typeface="+mn-cs"/>
            </a:rPr>
            <a:t> de ce fichier qui vous donnera aussi le facteur solaire. L'orientation est simplement l'orientation de la fenêtre selon les points</a:t>
          </a:r>
          <a:r>
            <a:rPr lang="fr-BE"/>
            <a:t> </a:t>
          </a:r>
          <a:r>
            <a:rPr lang="fr-BE" sz="1100" b="0" i="0" u="none" strike="noStrike">
              <a:solidFill>
                <a:schemeClr val="dk1"/>
              </a:solidFill>
              <a:effectLst/>
              <a:latin typeface="+mn-lt"/>
              <a:ea typeface="+mn-ea"/>
              <a:cs typeface="+mn-cs"/>
            </a:rPr>
            <a:t>cardinaux (choisir dans la liste déroulante). L'ombrage est une appréciation selon que la fenêtre est plus ou moins exposée à l'ombre </a:t>
          </a:r>
          <a:r>
            <a:rPr lang="fr-BE"/>
            <a:t> </a:t>
          </a:r>
          <a:r>
            <a:rPr lang="fr-BE" sz="1100" b="0" i="0" u="none" strike="noStrike">
              <a:solidFill>
                <a:schemeClr val="dk1"/>
              </a:solidFill>
              <a:effectLst/>
              <a:latin typeface="+mn-lt"/>
              <a:ea typeface="+mn-ea"/>
              <a:cs typeface="+mn-cs"/>
            </a:rPr>
            <a:t>d'éventuels obtsacles adjacents (arbres, bâtiments). Une fois que vous avez déterminé tous vos types de fenêtres différents, vous pouvez</a:t>
          </a:r>
          <a:r>
            <a:rPr lang="fr-BE"/>
            <a:t> </a:t>
          </a:r>
          <a:r>
            <a:rPr lang="fr-BE" sz="1100" b="0" i="0" u="none" strike="noStrike">
              <a:solidFill>
                <a:schemeClr val="dk1"/>
              </a:solidFill>
              <a:effectLst/>
              <a:latin typeface="+mn-lt"/>
              <a:ea typeface="+mn-ea"/>
              <a:cs typeface="+mn-cs"/>
            </a:rPr>
            <a:t>pour chaque type mesurer la surface vitrée (préférable sur base de plans). Une fois ces données encodées, l'outil calcul les apports </a:t>
          </a:r>
          <a:r>
            <a:rPr lang="fr-BE"/>
            <a:t> </a:t>
          </a:r>
          <a:r>
            <a:rPr lang="fr-BE" sz="1100" b="0" i="0" u="none" strike="noStrike">
              <a:solidFill>
                <a:schemeClr val="dk1"/>
              </a:solidFill>
              <a:effectLst/>
              <a:latin typeface="+mn-lt"/>
              <a:ea typeface="+mn-ea"/>
              <a:cs typeface="+mn-cs"/>
            </a:rPr>
            <a:t>solaires potentiels ainsi que les pertes thermiques théoriques des fenêtres.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b) Portes :</a:t>
          </a:r>
          <a:r>
            <a:rPr lang="fr-BE" sz="1100" b="0" i="0" u="none" strike="noStrike">
              <a:solidFill>
                <a:schemeClr val="dk1"/>
              </a:solidFill>
              <a:effectLst/>
              <a:latin typeface="+mn-lt"/>
              <a:ea typeface="+mn-ea"/>
              <a:cs typeface="+mn-cs"/>
            </a:rPr>
            <a:t> Même principe pour les portes.</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c) Murs extérieurs :</a:t>
          </a:r>
          <a:r>
            <a:rPr lang="fr-BE" sz="1100" b="0" i="0" u="none" strike="noStrike">
              <a:solidFill>
                <a:schemeClr val="dk1"/>
              </a:solidFill>
              <a:effectLst/>
              <a:latin typeface="+mn-lt"/>
              <a:ea typeface="+mn-ea"/>
              <a:cs typeface="+mn-cs"/>
            </a:rPr>
            <a:t> Les murs sont aussi une énorme source de déperditions thermiques, doù l'intérêt d'également les caractériser</a:t>
          </a:r>
          <a:r>
            <a:rPr lang="fr-BE"/>
            <a:t> </a:t>
          </a:r>
          <a:r>
            <a:rPr lang="fr-BE" sz="1100" b="0" i="0" u="none" strike="noStrike">
              <a:solidFill>
                <a:schemeClr val="dk1"/>
              </a:solidFill>
              <a:effectLst/>
              <a:latin typeface="+mn-lt"/>
              <a:ea typeface="+mn-ea"/>
              <a:cs typeface="+mn-cs"/>
            </a:rPr>
            <a:t>correctement. Là encore il faudra distinguer dans chaque ligne, un type de mur différent. Par type de mur différent, on entend les murs</a:t>
          </a:r>
          <a:r>
            <a:rPr lang="fr-BE"/>
            <a:t> </a:t>
          </a:r>
          <a:r>
            <a:rPr lang="fr-BE" sz="1100" b="0" i="0" u="none" strike="noStrike">
              <a:solidFill>
                <a:schemeClr val="dk1"/>
              </a:solidFill>
              <a:effectLst/>
              <a:latin typeface="+mn-lt"/>
              <a:ea typeface="+mn-ea"/>
              <a:cs typeface="+mn-cs"/>
            </a:rPr>
            <a:t>EXTERIEURS de composition différente, car les U varieront en fonction de la composition. Il faut donc connaître les valeurs U par type de</a:t>
          </a:r>
          <a:r>
            <a:rPr lang="fr-BE"/>
            <a:t> </a:t>
          </a:r>
          <a:r>
            <a:rPr lang="fr-BE" sz="1100" b="0" i="0" u="none" strike="noStrike">
              <a:solidFill>
                <a:schemeClr val="dk1"/>
              </a:solidFill>
              <a:effectLst/>
              <a:latin typeface="+mn-lt"/>
              <a:ea typeface="+mn-ea"/>
              <a:cs typeface="+mn-cs"/>
            </a:rPr>
            <a:t>mur. Pour cela, vous pouvez à nouveau consulter l'onglet </a:t>
          </a:r>
          <a:r>
            <a:rPr lang="fr-BE" sz="1100" b="0" i="1" u="none" strike="noStrike">
              <a:solidFill>
                <a:schemeClr val="dk1"/>
              </a:solidFill>
              <a:effectLst/>
              <a:latin typeface="+mn-lt"/>
              <a:ea typeface="+mn-ea"/>
              <a:cs typeface="+mn-cs"/>
            </a:rPr>
            <a:t>Parois types</a:t>
          </a:r>
          <a:r>
            <a:rPr lang="fr-BE" sz="1100" b="0" i="0" u="none" strike="noStrike">
              <a:solidFill>
                <a:schemeClr val="dk1"/>
              </a:solidFill>
              <a:effectLst/>
              <a:latin typeface="+mn-lt"/>
              <a:ea typeface="+mn-ea"/>
              <a:cs typeface="+mn-cs"/>
            </a:rPr>
            <a:t> de ce fichier. Si vous connaîssez la composition exacte de vos</a:t>
          </a:r>
          <a:r>
            <a:rPr lang="fr-BE"/>
            <a:t> </a:t>
          </a:r>
          <a:r>
            <a:rPr lang="fr-BE" sz="1100" b="0" i="0" u="none" strike="noStrike">
              <a:solidFill>
                <a:schemeClr val="dk1"/>
              </a:solidFill>
              <a:effectLst/>
              <a:latin typeface="+mn-lt"/>
              <a:ea typeface="+mn-ea"/>
              <a:cs typeface="+mn-cs"/>
            </a:rPr>
            <a:t>murs (matériaux et épaisseur), vous pouvez aussi déterminer les U à l'aide d'un fichier disponible sur le site </a:t>
          </a:r>
          <a:r>
            <a:rPr lang="fr-BE" sz="1100" b="0" i="1" u="none" strike="noStrike">
              <a:solidFill>
                <a:schemeClr val="dk1"/>
              </a:solidFill>
              <a:effectLst/>
              <a:latin typeface="+mn-lt"/>
              <a:ea typeface="+mn-ea"/>
              <a:cs typeface="+mn-cs"/>
            </a:rPr>
            <a:t>Energie+*.</a:t>
          </a:r>
          <a:r>
            <a:rPr lang="fr-BE" sz="1100" b="0" i="0" u="none" strike="noStrike">
              <a:solidFill>
                <a:schemeClr val="dk1"/>
              </a:solidFill>
              <a:effectLst/>
              <a:latin typeface="+mn-lt"/>
              <a:ea typeface="+mn-ea"/>
              <a:cs typeface="+mn-cs"/>
            </a:rPr>
            <a:t> Ensuite, comme</a:t>
          </a:r>
          <a:r>
            <a:rPr lang="fr-BE"/>
            <a:t> </a:t>
          </a:r>
          <a:r>
            <a:rPr lang="fr-BE" sz="1100" b="0" i="0" u="none" strike="noStrike">
              <a:solidFill>
                <a:schemeClr val="dk1"/>
              </a:solidFill>
              <a:effectLst/>
              <a:latin typeface="+mn-lt"/>
              <a:ea typeface="+mn-ea"/>
              <a:cs typeface="+mn-cs"/>
            </a:rPr>
            <a:t>pour les fenêtres, calculer l'aire de chaque type de mur.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d) Toitures :</a:t>
          </a:r>
          <a:r>
            <a:rPr lang="fr-BE" sz="1100" b="0" i="0" u="none" strike="noStrike">
              <a:solidFill>
                <a:schemeClr val="dk1"/>
              </a:solidFill>
              <a:effectLst/>
              <a:latin typeface="+mn-lt"/>
              <a:ea typeface="+mn-ea"/>
              <a:cs typeface="+mn-cs"/>
            </a:rPr>
            <a:t> Même principe pour les toits</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e) Sol sur ambiance extérieure :</a:t>
          </a:r>
          <a:r>
            <a:rPr lang="fr-BE" sz="1100" b="0" i="0" u="none" strike="noStrike">
              <a:solidFill>
                <a:schemeClr val="dk1"/>
              </a:solidFill>
              <a:effectLst/>
              <a:latin typeface="+mn-lt"/>
              <a:ea typeface="+mn-ea"/>
              <a:cs typeface="+mn-cs"/>
            </a:rPr>
            <a:t> (Pour les espaces en porte-à-faux). Même principe.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f) Sols sur EANC :</a:t>
          </a:r>
          <a:r>
            <a:rPr lang="fr-BE" sz="1100" b="0" i="0" u="none" strike="noStrike">
              <a:solidFill>
                <a:schemeClr val="dk1"/>
              </a:solidFill>
              <a:effectLst/>
              <a:latin typeface="+mn-lt"/>
              <a:ea typeface="+mn-ea"/>
              <a:cs typeface="+mn-cs"/>
            </a:rPr>
            <a:t> (Pour les sols sur des espaces adjacent non chauffés : locaux techniques par exemple). Même principe.</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e) Sols sur cave :</a:t>
          </a:r>
          <a:r>
            <a:rPr lang="fr-BE" sz="1100" b="0" i="0" u="none" strike="noStrike">
              <a:solidFill>
                <a:schemeClr val="dk1"/>
              </a:solidFill>
              <a:effectLst/>
              <a:latin typeface="+mn-lt"/>
              <a:ea typeface="+mn-ea"/>
              <a:cs typeface="+mn-cs"/>
            </a:rPr>
            <a:t> Même principe.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f) Sols sur terre-plein :</a:t>
          </a:r>
          <a:r>
            <a:rPr lang="fr-BE" sz="1100" b="0" i="0" u="none" strike="noStrike">
              <a:solidFill>
                <a:schemeClr val="dk1"/>
              </a:solidFill>
              <a:effectLst/>
              <a:latin typeface="+mn-lt"/>
              <a:ea typeface="+mn-ea"/>
              <a:cs typeface="+mn-cs"/>
            </a:rPr>
            <a:t> (Pour les sols en contact avec la terre). Même principe.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g) Murs contre terre ou cave :</a:t>
          </a:r>
          <a:r>
            <a:rPr lang="fr-BE" sz="1100" b="0" i="0" u="none" strike="noStrike">
              <a:solidFill>
                <a:schemeClr val="dk1"/>
              </a:solidFill>
              <a:effectLst/>
              <a:latin typeface="+mn-lt"/>
              <a:ea typeface="+mn-ea"/>
              <a:cs typeface="+mn-cs"/>
            </a:rPr>
            <a:t> Même principe.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h) Murs contre EANC :</a:t>
          </a:r>
          <a:r>
            <a:rPr lang="fr-BE" sz="1100" b="0" i="0" u="none" strike="noStrike">
              <a:solidFill>
                <a:schemeClr val="dk1"/>
              </a:solidFill>
              <a:effectLst/>
              <a:latin typeface="+mn-lt"/>
              <a:ea typeface="+mn-ea"/>
              <a:cs typeface="+mn-cs"/>
            </a:rPr>
            <a:t> Même principe.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p>
        <a:p>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0" i="0" u="none" strike="noStrike">
              <a:solidFill>
                <a:schemeClr val="dk1"/>
              </a:solidFill>
              <a:effectLst/>
              <a:latin typeface="+mn-lt"/>
              <a:ea typeface="+mn-ea"/>
              <a:cs typeface="+mn-cs"/>
            </a:rPr>
            <a:t>Une fois toutes les parois de l'enveloppe encodées, l'outil va alors effectuer le bilans des parois et estimer les déperditions à travers ces</a:t>
          </a:r>
          <a:r>
            <a:rPr lang="fr-BE"/>
            <a:t> </a:t>
          </a:r>
          <a:r>
            <a:rPr lang="fr-BE" sz="1100" b="0" i="0" u="none" strike="noStrike">
              <a:solidFill>
                <a:schemeClr val="dk1"/>
              </a:solidFill>
              <a:effectLst/>
              <a:latin typeface="+mn-lt"/>
              <a:ea typeface="+mn-ea"/>
              <a:cs typeface="+mn-cs"/>
            </a:rPr>
            <a:t>parois. Il reste à encoder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i) Volume chauffé :</a:t>
          </a:r>
          <a:r>
            <a:rPr lang="fr-BE" sz="1100" b="0" i="0" u="none" strike="noStrike">
              <a:solidFill>
                <a:schemeClr val="dk1"/>
              </a:solidFill>
              <a:effectLst/>
              <a:latin typeface="+mn-lt"/>
              <a:ea typeface="+mn-ea"/>
              <a:cs typeface="+mn-cs"/>
            </a:rPr>
            <a:t> Calculer le volume des espaces CHAUFFES (en m³)</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p>
        <a:p>
          <a:r>
            <a:rPr lang="fr-BE" sz="1100" b="1" i="0" u="sng" strike="noStrike">
              <a:solidFill>
                <a:schemeClr val="dk1"/>
              </a:solidFill>
              <a:effectLst/>
              <a:latin typeface="+mn-lt"/>
              <a:ea typeface="+mn-ea"/>
              <a:cs typeface="+mn-cs"/>
            </a:rPr>
            <a:t>j) Nœuds constructifs :</a:t>
          </a:r>
          <a:r>
            <a:rPr lang="fr-BE" sz="1100" b="0" i="0" u="none" strike="noStrike">
              <a:solidFill>
                <a:schemeClr val="dk1"/>
              </a:solidFill>
              <a:effectLst/>
              <a:latin typeface="+mn-lt"/>
              <a:ea typeface="+mn-ea"/>
              <a:cs typeface="+mn-cs"/>
            </a:rPr>
            <a:t> Est-ce que les ponts thermiques sont bien isolés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none" strike="noStrike">
              <a:solidFill>
                <a:schemeClr val="dk1"/>
              </a:solidFill>
              <a:effectLst/>
              <a:latin typeface="+mn-lt"/>
              <a:ea typeface="+mn-ea"/>
              <a:cs typeface="+mn-cs"/>
            </a:rPr>
            <a:t>3. Determination des besoins de chauffage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0" i="0" u="none" strike="noStrike">
              <a:solidFill>
                <a:schemeClr val="dk1"/>
              </a:solidFill>
              <a:effectLst/>
              <a:latin typeface="+mn-lt"/>
              <a:ea typeface="+mn-ea"/>
              <a:cs typeface="+mn-cs"/>
            </a:rPr>
            <a:t>Il s'agit ici de caractériser les systèmes (chauffage et ventilation).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Situation géographique :</a:t>
          </a:r>
          <a:r>
            <a:rPr lang="fr-BE" sz="1100" b="0" i="0" u="none" strike="noStrike">
              <a:solidFill>
                <a:schemeClr val="dk1"/>
              </a:solidFill>
              <a:effectLst/>
              <a:latin typeface="+mn-lt"/>
              <a:ea typeface="+mn-ea"/>
              <a:cs typeface="+mn-cs"/>
            </a:rPr>
            <a:t> Encoder simplement la commune du bâtiment. L'outil prendra la température correspondante</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Inétanchéité à l'air :</a:t>
          </a:r>
          <a:r>
            <a:rPr lang="fr-BE" sz="1100" b="0" i="0" u="none" strike="noStrike">
              <a:solidFill>
                <a:schemeClr val="dk1"/>
              </a:solidFill>
              <a:effectLst/>
              <a:latin typeface="+mn-lt"/>
              <a:ea typeface="+mn-ea"/>
              <a:cs typeface="+mn-cs"/>
            </a:rPr>
            <a:t> Estimer le niveau d'étanchéité à l'air, c’est-à-dire à quel point l'air entre et sort du volume chauffé par des orifices</a:t>
          </a:r>
          <a:r>
            <a:rPr lang="fr-BE"/>
            <a:t> </a:t>
          </a:r>
          <a:r>
            <a:rPr lang="fr-BE" sz="1100" b="0" i="0" u="none" strike="noStrike">
              <a:solidFill>
                <a:schemeClr val="dk1"/>
              </a:solidFill>
              <a:effectLst/>
              <a:latin typeface="+mn-lt"/>
              <a:ea typeface="+mn-ea"/>
              <a:cs typeface="+mn-cs"/>
            </a:rPr>
            <a:t>non prévus (fuites, défauts de joints, etc)*.</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Ventilation hygiénique :</a:t>
          </a:r>
          <a:r>
            <a:rPr lang="fr-BE" sz="1100" b="0" i="0" u="none" strike="noStrike">
              <a:solidFill>
                <a:schemeClr val="dk1"/>
              </a:solidFill>
              <a:effectLst/>
              <a:latin typeface="+mn-lt"/>
              <a:ea typeface="+mn-ea"/>
              <a:cs typeface="+mn-cs"/>
            </a:rPr>
            <a:t> Encoder une série d'infos sur la ventilation : nombre de personnes maximum présentes, détermination du débit</a:t>
          </a:r>
          <a:r>
            <a:rPr lang="fr-BE"/>
            <a:t> </a:t>
          </a:r>
          <a:r>
            <a:rPr lang="fr-BE" sz="1100" b="0" i="0" u="none" strike="noStrike">
              <a:solidFill>
                <a:schemeClr val="dk1"/>
              </a:solidFill>
              <a:effectLst/>
              <a:latin typeface="+mn-lt"/>
              <a:ea typeface="+mn-ea"/>
              <a:cs typeface="+mn-cs"/>
            </a:rPr>
            <a:t>moyen (heure par heure indiquer le nombre de personne présentes d'une journée normale), occupation (nbr de jour/semaine), estimation</a:t>
          </a:r>
          <a:r>
            <a:rPr lang="fr-BE"/>
            <a:t> </a:t>
          </a:r>
          <a:r>
            <a:rPr lang="fr-BE" sz="1100" b="0" i="0" u="none" strike="noStrike">
              <a:solidFill>
                <a:schemeClr val="dk1"/>
              </a:solidFill>
              <a:effectLst/>
              <a:latin typeface="+mn-lt"/>
              <a:ea typeface="+mn-ea"/>
              <a:cs typeface="+mn-cs"/>
            </a:rPr>
            <a:t>qualité de la ventilation (apréciation selon que le bâtiment est plus ou moins ventilé), rendement récupération de chaleur (si présent).</a:t>
          </a:r>
          <a:r>
            <a:rPr lang="fr-BE"/>
            <a:t> </a:t>
          </a:r>
        </a:p>
        <a:p>
          <a:r>
            <a:rPr lang="fr-BE" sz="1100" b="1" i="0" u="sng" strike="noStrike">
              <a:solidFill>
                <a:schemeClr val="dk1"/>
              </a:solidFill>
              <a:effectLst/>
              <a:latin typeface="+mn-lt"/>
              <a:ea typeface="+mn-ea"/>
              <a:cs typeface="+mn-cs"/>
            </a:rPr>
            <a:t>Type de bâtiment :</a:t>
          </a:r>
          <a:r>
            <a:rPr lang="fr-BE" sz="1100" b="0" i="0" u="none" strike="noStrike">
              <a:solidFill>
                <a:schemeClr val="dk1"/>
              </a:solidFill>
              <a:effectLst/>
              <a:latin typeface="+mn-lt"/>
              <a:ea typeface="+mn-ea"/>
              <a:cs typeface="+mn-cs"/>
            </a:rPr>
            <a:t> Encoder la température moyenne des locaux ainsi que l'estimation de la réduction de température les WE et la nuit</a:t>
          </a:r>
          <a:r>
            <a:rPr lang="fr-BE"/>
            <a:t> </a:t>
          </a:r>
        </a:p>
        <a:p>
          <a:r>
            <a:rPr lang="fr-BE" sz="1100" b="1" i="0" u="sng" strike="noStrike">
              <a:solidFill>
                <a:schemeClr val="dk1"/>
              </a:solidFill>
              <a:effectLst/>
              <a:latin typeface="+mn-lt"/>
              <a:ea typeface="+mn-ea"/>
              <a:cs typeface="+mn-cs"/>
            </a:rPr>
            <a:t>Apports internes :</a:t>
          </a:r>
          <a:r>
            <a:rPr lang="fr-BE" sz="1100" b="0" i="0" u="none" strike="noStrike">
              <a:solidFill>
                <a:schemeClr val="dk1"/>
              </a:solidFill>
              <a:effectLst/>
              <a:latin typeface="+mn-lt"/>
              <a:ea typeface="+mn-ea"/>
              <a:cs typeface="+mn-cs"/>
            </a:rPr>
            <a:t> Encoder l'affectation (choisir dans la liste déroulante) et la surface de plancher chauffé (superficie totale des espaces </a:t>
          </a:r>
          <a:r>
            <a:rPr lang="fr-BE"/>
            <a:t> </a:t>
          </a:r>
          <a:r>
            <a:rPr lang="fr-BE" sz="1100" b="0" i="0" u="none" strike="noStrike">
              <a:solidFill>
                <a:schemeClr val="dk1"/>
              </a:solidFill>
              <a:effectLst/>
              <a:latin typeface="+mn-lt"/>
              <a:ea typeface="+mn-ea"/>
              <a:cs typeface="+mn-cs"/>
            </a:rPr>
            <a:t>chauffés, ne pas prendre les caves et les combles si ils ne sont pas chauffés).</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sng" strike="noStrike">
              <a:solidFill>
                <a:schemeClr val="dk1"/>
              </a:solidFill>
              <a:effectLst/>
              <a:latin typeface="+mn-lt"/>
              <a:ea typeface="+mn-ea"/>
              <a:cs typeface="+mn-cs"/>
            </a:rPr>
            <a:t>Installation de chauffage :</a:t>
          </a:r>
          <a:r>
            <a:rPr lang="fr-BE" sz="1100" b="0" i="0" u="none" strike="noStrike">
              <a:solidFill>
                <a:schemeClr val="dk1"/>
              </a:solidFill>
              <a:effectLst/>
              <a:latin typeface="+mn-lt"/>
              <a:ea typeface="+mn-ea"/>
              <a:cs typeface="+mn-cs"/>
            </a:rPr>
            <a:t> Encoder le type de chaudière avec son rendement, la puissance de l'installation, apprécier l'isolation des </a:t>
          </a:r>
          <a:r>
            <a:rPr lang="fr-BE"/>
            <a:t> </a:t>
          </a:r>
          <a:r>
            <a:rPr lang="fr-BE" sz="1100" b="0" i="0" u="none" strike="noStrike">
              <a:solidFill>
                <a:schemeClr val="dk1"/>
              </a:solidFill>
              <a:effectLst/>
              <a:latin typeface="+mn-lt"/>
              <a:ea typeface="+mn-ea"/>
              <a:cs typeface="+mn-cs"/>
            </a:rPr>
            <a:t>conduites de chauffage, la performance de la régulation, et le positionnement des radateurs.</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endParaRPr lang="fr-BE" sz="1100" b="1" i="0" u="none" strike="noStrike">
            <a:solidFill>
              <a:schemeClr val="dk1"/>
            </a:solidFill>
            <a:effectLst/>
            <a:latin typeface="+mn-lt"/>
            <a:ea typeface="+mn-ea"/>
            <a:cs typeface="+mn-cs"/>
          </a:endParaRPr>
        </a:p>
        <a:p>
          <a:r>
            <a:rPr lang="fr-BE" sz="1100" b="1" i="0" u="none" strike="noStrike">
              <a:solidFill>
                <a:schemeClr val="dk1"/>
              </a:solidFill>
              <a:effectLst/>
              <a:latin typeface="+mn-lt"/>
              <a:ea typeface="+mn-ea"/>
              <a:cs typeface="+mn-cs"/>
            </a:rPr>
            <a:t>4. Bilan énergétique (chauffage)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p>
        <a:p>
          <a:r>
            <a:rPr lang="fr-BE" sz="1100" b="0" i="0" u="none" strike="noStrike">
              <a:solidFill>
                <a:schemeClr val="dk1"/>
              </a:solidFill>
              <a:effectLst/>
              <a:latin typeface="+mn-lt"/>
              <a:ea typeface="+mn-ea"/>
              <a:cs typeface="+mn-cs"/>
            </a:rPr>
            <a:t>Avec tous ces paramètres encodés, l'outil va dans cette section faire le bilan des flux énergétiques du bâtiment. Il va identifier et chiffrer</a:t>
          </a:r>
          <a:r>
            <a:rPr lang="fr-BE"/>
            <a:t> </a:t>
          </a:r>
          <a:r>
            <a:rPr lang="fr-BE" sz="1100" b="0" i="0" u="none" strike="noStrike">
              <a:solidFill>
                <a:schemeClr val="dk1"/>
              </a:solidFill>
              <a:effectLst/>
              <a:latin typeface="+mn-lt"/>
              <a:ea typeface="+mn-ea"/>
              <a:cs typeface="+mn-cs"/>
            </a:rPr>
            <a:t>toutes les déperditions différentes (murs, fenêtres, toit, sol, ventilation, ponts thermiques, chauffage)  ainsi que les apports naturels</a:t>
          </a:r>
          <a:r>
            <a:rPr lang="fr-BE"/>
            <a:t> </a:t>
          </a:r>
          <a:r>
            <a:rPr lang="fr-BE" sz="1100" b="0" i="0" u="none" strike="noStrike">
              <a:solidFill>
                <a:schemeClr val="dk1"/>
              </a:solidFill>
              <a:effectLst/>
              <a:latin typeface="+mn-lt"/>
              <a:ea typeface="+mn-ea"/>
              <a:cs typeface="+mn-cs"/>
            </a:rPr>
            <a:t>(rayonnement solaire, chaleur corporelle, éclairage). L'outil va alors estimer les consommations théoriques de chauffage pour</a:t>
          </a:r>
          <a:r>
            <a:rPr lang="fr-BE"/>
            <a:t> </a:t>
          </a:r>
          <a:r>
            <a:rPr lang="fr-BE" sz="1100" b="0" i="0" u="none" strike="noStrike">
              <a:solidFill>
                <a:schemeClr val="dk1"/>
              </a:solidFill>
              <a:effectLst/>
              <a:latin typeface="+mn-lt"/>
              <a:ea typeface="+mn-ea"/>
              <a:cs typeface="+mn-cs"/>
            </a:rPr>
            <a:t>contrebalancer toutes ces déperditions, en tenant compte des apports. </a:t>
          </a:r>
          <a:endParaRPr lang="fr-BE"/>
        </a:p>
        <a:p>
          <a:r>
            <a:rPr lang="fr-BE" sz="1100" b="0" i="0" u="none" strike="noStrike">
              <a:solidFill>
                <a:schemeClr val="dk1"/>
              </a:solidFill>
              <a:effectLst/>
              <a:latin typeface="+mn-lt"/>
              <a:ea typeface="+mn-ea"/>
              <a:cs typeface="+mn-cs"/>
            </a:rPr>
            <a:t>L'outil fourni aussi des graphiques permettant une compréhension plus visuelle. Un histogramme qui met en vis-à-vis les déperditions</a:t>
          </a:r>
          <a:r>
            <a:rPr lang="fr-BE"/>
            <a:t> </a:t>
          </a:r>
          <a:r>
            <a:rPr lang="fr-BE" sz="1100" b="0" i="0" u="none" strike="noStrike">
              <a:solidFill>
                <a:schemeClr val="dk1"/>
              </a:solidFill>
              <a:effectLst/>
              <a:latin typeface="+mn-lt"/>
              <a:ea typeface="+mn-ea"/>
              <a:cs typeface="+mn-cs"/>
            </a:rPr>
            <a:t>et les apports et un graphique circulaire qui montre le bilan des flux énergétiques par poste.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p>
        <a:p>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600" b="1" i="0" u="none" strike="noStrike">
              <a:solidFill>
                <a:schemeClr val="dk1"/>
              </a:solidFill>
              <a:effectLst/>
              <a:latin typeface="+mn-lt"/>
              <a:ea typeface="+mn-ea"/>
              <a:cs typeface="+mn-cs"/>
            </a:rPr>
            <a:t>Situation Rénovée</a:t>
          </a:r>
          <a:r>
            <a:rPr lang="fr-BE" sz="1600"/>
            <a:t> </a:t>
          </a:r>
          <a:r>
            <a:rPr lang="fr-BE" sz="1600" b="0" i="0" u="none" strike="noStrike">
              <a:solidFill>
                <a:schemeClr val="dk1"/>
              </a:solidFill>
              <a:effectLst/>
              <a:latin typeface="+mn-lt"/>
              <a:ea typeface="+mn-ea"/>
              <a:cs typeface="+mn-cs"/>
            </a:rPr>
            <a:t> </a:t>
          </a:r>
          <a:r>
            <a:rPr lang="fr-BE" sz="1600"/>
            <a:t> </a:t>
          </a:r>
          <a:r>
            <a:rPr lang="fr-BE" sz="1600" b="0" i="0" u="none" strike="noStrike">
              <a:solidFill>
                <a:schemeClr val="dk1"/>
              </a:solidFill>
              <a:effectLst/>
              <a:latin typeface="+mn-lt"/>
              <a:ea typeface="+mn-ea"/>
              <a:cs typeface="+mn-cs"/>
            </a:rPr>
            <a:t> </a:t>
          </a:r>
          <a:r>
            <a:rPr lang="fr-BE" sz="1600"/>
            <a:t> </a:t>
          </a:r>
          <a:r>
            <a:rPr lang="fr-BE" sz="1600" b="0" i="0" u="none" strike="noStrike">
              <a:solidFill>
                <a:schemeClr val="dk1"/>
              </a:solidFill>
              <a:effectLst/>
              <a:latin typeface="+mn-lt"/>
              <a:ea typeface="+mn-ea"/>
              <a:cs typeface="+mn-cs"/>
            </a:rPr>
            <a:t> </a:t>
          </a:r>
          <a:r>
            <a:rPr lang="fr-BE" sz="1600"/>
            <a:t> </a:t>
          </a:r>
          <a:r>
            <a:rPr lang="fr-BE" sz="1600" b="0" i="0" u="none" strike="noStrike">
              <a:solidFill>
                <a:schemeClr val="dk1"/>
              </a:solidFill>
              <a:effectLst/>
              <a:latin typeface="+mn-lt"/>
              <a:ea typeface="+mn-ea"/>
              <a:cs typeface="+mn-cs"/>
            </a:rPr>
            <a:t> </a:t>
          </a:r>
          <a:r>
            <a:rPr lang="fr-BE" sz="1600"/>
            <a:t> </a:t>
          </a:r>
          <a:r>
            <a:rPr lang="fr-BE" sz="1600" b="0" i="0" u="none" strike="noStrike">
              <a:solidFill>
                <a:schemeClr val="dk1"/>
              </a:solidFill>
              <a:effectLst/>
              <a:latin typeface="+mn-lt"/>
              <a:ea typeface="+mn-ea"/>
              <a:cs typeface="+mn-cs"/>
            </a:rPr>
            <a:t> </a:t>
          </a:r>
          <a:r>
            <a:rPr lang="fr-BE" sz="1600"/>
            <a:t> </a:t>
          </a:r>
          <a:r>
            <a:rPr lang="fr-BE" sz="1600" b="0" i="0" u="none" strike="noStrike">
              <a:solidFill>
                <a:schemeClr val="dk1"/>
              </a:solidFill>
              <a:effectLst/>
              <a:latin typeface="+mn-lt"/>
              <a:ea typeface="+mn-ea"/>
              <a:cs typeface="+mn-cs"/>
            </a:rPr>
            <a:t> </a:t>
          </a:r>
          <a:r>
            <a:rPr lang="fr-BE" sz="1600"/>
            <a:t> </a:t>
          </a:r>
          <a:r>
            <a:rPr lang="fr-BE" sz="1600" b="0" i="0" u="none" strike="noStrike">
              <a:solidFill>
                <a:schemeClr val="dk1"/>
              </a:solidFill>
              <a:effectLst/>
              <a:latin typeface="+mn-lt"/>
              <a:ea typeface="+mn-ea"/>
              <a:cs typeface="+mn-cs"/>
            </a:rPr>
            <a:t> </a:t>
          </a:r>
          <a:r>
            <a:rPr lang="fr-BE" sz="1600"/>
            <a:t> </a:t>
          </a:r>
          <a:r>
            <a:rPr lang="fr-BE" sz="1600" b="0" i="0" u="none" strike="noStrike">
              <a:solidFill>
                <a:schemeClr val="dk1"/>
              </a:solidFill>
              <a:effectLst/>
              <a:latin typeface="+mn-lt"/>
              <a:ea typeface="+mn-ea"/>
              <a:cs typeface="+mn-cs"/>
            </a:rPr>
            <a:t> </a:t>
          </a:r>
          <a:r>
            <a:rPr lang="fr-BE" sz="1600"/>
            <a:t> </a:t>
          </a:r>
        </a:p>
        <a:p>
          <a:r>
            <a:rPr lang="fr-BE" sz="1100" b="0" i="0" u="none" strike="noStrike">
              <a:solidFill>
                <a:schemeClr val="dk1"/>
              </a:solidFill>
              <a:effectLst/>
              <a:latin typeface="+mn-lt"/>
              <a:ea typeface="+mn-ea"/>
              <a:cs typeface="+mn-cs"/>
            </a:rPr>
            <a:t>Dans cet onglet, on va à nouveau recaractériser notre bâtiment mais dans sa situation rénovée telle qu'on l'envisage. Le principe reste</a:t>
          </a:r>
          <a:r>
            <a:rPr lang="fr-BE"/>
            <a:t> </a:t>
          </a:r>
          <a:r>
            <a:rPr lang="fr-BE" sz="1100" b="0" i="0" u="none" strike="noStrike">
              <a:solidFill>
                <a:schemeClr val="dk1"/>
              </a:solidFill>
              <a:effectLst/>
              <a:latin typeface="+mn-lt"/>
              <a:ea typeface="+mn-ea"/>
              <a:cs typeface="+mn-cs"/>
            </a:rPr>
            <a:t>exactement le même, mis à part qu'on viendra choisir les exigences qu'on a décidé de fixer (valeurs U, nouvelle chaudière/ventilation,</a:t>
          </a:r>
          <a:r>
            <a:rPr lang="fr-BE"/>
            <a:t> </a:t>
          </a:r>
          <a:r>
            <a:rPr lang="fr-BE" sz="1100" b="0" i="0" u="none" strike="noStrike">
              <a:solidFill>
                <a:schemeClr val="dk1"/>
              </a:solidFill>
              <a:effectLst/>
              <a:latin typeface="+mn-lt"/>
              <a:ea typeface="+mn-ea"/>
              <a:cs typeface="+mn-cs"/>
            </a:rPr>
            <a:t>occupation, température, etc). Cet onglet permet aussi une estimation des coûts des rénovations.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none" strike="noStrike">
              <a:solidFill>
                <a:schemeClr val="dk1"/>
              </a:solidFill>
              <a:effectLst/>
              <a:latin typeface="+mn-lt"/>
              <a:ea typeface="+mn-ea"/>
              <a:cs typeface="+mn-cs"/>
            </a:rPr>
            <a:t>cout combustible : </a:t>
          </a:r>
          <a:r>
            <a:rPr lang="fr-BE" sz="1100" b="0" i="0" u="none" strike="noStrike">
              <a:solidFill>
                <a:schemeClr val="dk1"/>
              </a:solidFill>
              <a:effectLst/>
              <a:latin typeface="+mn-lt"/>
              <a:ea typeface="+mn-ea"/>
              <a:cs typeface="+mn-cs"/>
            </a:rPr>
            <a:t>encoder le cout futur estimé moyen du combustible [€/kWh]</a:t>
          </a:r>
          <a:r>
            <a:rPr lang="fr-BE"/>
            <a:t> </a:t>
          </a:r>
          <a:r>
            <a:rPr lang="fr-BE" sz="1100" b="0" i="0" u="none" strike="noStrike">
              <a:solidFill>
                <a:schemeClr val="dk1"/>
              </a:solidFill>
              <a:effectLst/>
              <a:latin typeface="+mn-lt"/>
              <a:ea typeface="+mn-ea"/>
              <a:cs typeface="+mn-cs"/>
            </a:rPr>
            <a:t> </a:t>
          </a:r>
          <a:r>
            <a:rPr lang="fr-BE"/>
            <a:t> </a:t>
          </a:r>
          <a:endParaRPr lang="fr-BE" sz="1100" b="0" i="0" u="none" strike="noStrike">
            <a:solidFill>
              <a:schemeClr val="dk1"/>
            </a:solidFill>
            <a:effectLst/>
            <a:latin typeface="+mn-lt"/>
            <a:ea typeface="+mn-ea"/>
            <a:cs typeface="+mn-cs"/>
          </a:endParaRPr>
        </a:p>
        <a:p>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1" i="0" u="none" strike="noStrike">
              <a:solidFill>
                <a:schemeClr val="dk1"/>
              </a:solidFill>
              <a:effectLst/>
              <a:latin typeface="+mn-lt"/>
              <a:ea typeface="+mn-ea"/>
              <a:cs typeface="+mn-cs"/>
            </a:rPr>
            <a:t>2. Caractéristiques de l'enveloppe</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r>
            <a:rPr lang="fr-BE" sz="1100" b="0" i="0" u="none" strike="noStrike">
              <a:solidFill>
                <a:schemeClr val="dk1"/>
              </a:solidFill>
              <a:effectLst/>
              <a:latin typeface="+mn-lt"/>
              <a:ea typeface="+mn-ea"/>
              <a:cs typeface="+mn-cs"/>
            </a:rPr>
            <a:t> </a:t>
          </a:r>
          <a:r>
            <a:rPr lang="fr-BE"/>
            <a:t> </a:t>
          </a:r>
        </a:p>
        <a:p>
          <a:r>
            <a:rPr lang="fr-BE" sz="1100" b="0" i="0" u="none" strike="noStrike">
              <a:solidFill>
                <a:schemeClr val="dk1"/>
              </a:solidFill>
              <a:effectLst/>
              <a:latin typeface="+mn-lt"/>
              <a:ea typeface="+mn-ea"/>
              <a:cs typeface="+mn-cs"/>
            </a:rPr>
            <a:t>Dans cette section, on va venir indiquer les valeurs U qu'on souhaite avoir pour les différentes parois. A noter qu'il y a certaines valeurs</a:t>
          </a:r>
          <a:r>
            <a:rPr lang="fr-BE"/>
            <a:t> </a:t>
          </a:r>
          <a:r>
            <a:rPr lang="fr-BE" sz="1100" b="0" i="0" u="none" strike="noStrike">
              <a:solidFill>
                <a:schemeClr val="dk1"/>
              </a:solidFill>
              <a:effectLst/>
              <a:latin typeface="+mn-lt"/>
              <a:ea typeface="+mn-ea"/>
              <a:cs typeface="+mn-cs"/>
            </a:rPr>
            <a:t>U prédéfinies en fonction des exigences de rénovation (réglementation PEB ou critères de prime/subside</a:t>
          </a:r>
          <a:r>
            <a:rPr lang="fr-BE" sz="1100" b="0" i="0" u="none" strike="noStrike" baseline="0">
              <a:solidFill>
                <a:schemeClr val="dk1"/>
              </a:solidFill>
              <a:effectLst/>
              <a:latin typeface="+mn-lt"/>
              <a:ea typeface="+mn-ea"/>
              <a:cs typeface="+mn-cs"/>
            </a:rPr>
            <a:t> </a:t>
          </a:r>
          <a:r>
            <a:rPr lang="fr-BE" sz="1100" b="0" i="0" u="none" strike="noStrike">
              <a:solidFill>
                <a:schemeClr val="dk1"/>
              </a:solidFill>
              <a:effectLst/>
              <a:latin typeface="+mn-lt"/>
              <a:ea typeface="+mn-ea"/>
              <a:cs typeface="+mn-cs"/>
            </a:rPr>
            <a:t>par exemple*). Les surfaces ne changent à priori pas, sauf si des</a:t>
          </a:r>
          <a:r>
            <a:rPr lang="fr-BE"/>
            <a:t> </a:t>
          </a:r>
          <a:r>
            <a:rPr lang="fr-BE" sz="1100" b="0" i="0" u="none" strike="noStrike">
              <a:solidFill>
                <a:schemeClr val="dk1"/>
              </a:solidFill>
              <a:effectLst/>
              <a:latin typeface="+mn-lt"/>
              <a:ea typeface="+mn-ea"/>
              <a:cs typeface="+mn-cs"/>
            </a:rPr>
            <a:t>travaux d'agrandissement sont prévus. Les prix peuvent s'obtenir via</a:t>
          </a:r>
          <a:r>
            <a:rPr lang="fr-BE" sz="1100" b="0" i="0" u="none" strike="noStrike" baseline="0">
              <a:solidFill>
                <a:schemeClr val="dk1"/>
              </a:solidFill>
              <a:effectLst/>
              <a:latin typeface="+mn-lt"/>
              <a:ea typeface="+mn-ea"/>
              <a:cs typeface="+mn-cs"/>
            </a:rPr>
            <a:t> des bases de données de prix (voir sur www.livios.be, le bordereau des prix unitaires de l'UPA,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r>
            <a:rPr lang="fr-BE" sz="1100" b="0" i="0" u="none" strike="noStrike">
              <a:solidFill>
                <a:srgbClr val="FF0000"/>
              </a:solidFill>
              <a:effectLst/>
              <a:latin typeface="+mn-lt"/>
              <a:ea typeface="+mn-ea"/>
              <a:cs typeface="+mn-cs"/>
            </a:rPr>
            <a:t> </a:t>
          </a:r>
          <a:r>
            <a:rPr lang="fr-BE">
              <a:solidFill>
                <a:srgbClr val="FF0000"/>
              </a:solidFill>
            </a:rPr>
            <a:t> </a:t>
          </a:r>
        </a:p>
        <a:p>
          <a:r>
            <a:rPr lang="fr-BE" sz="1100" b="1" u="sng">
              <a:solidFill>
                <a:sysClr val="windowText" lastClr="000000"/>
              </a:solidFill>
            </a:rPr>
            <a:t>Estimation de</a:t>
          </a:r>
          <a:r>
            <a:rPr lang="fr-BE" sz="1100" b="1" u="sng" baseline="0">
              <a:solidFill>
                <a:sysClr val="windowText" lastClr="000000"/>
              </a:solidFill>
            </a:rPr>
            <a:t> la qualité des jonctions entre les isolants :</a:t>
          </a:r>
          <a:r>
            <a:rPr lang="fr-BE" sz="1100" b="0" u="none" baseline="0">
              <a:solidFill>
                <a:sysClr val="windowText" lastClr="000000"/>
              </a:solidFill>
            </a:rPr>
            <a:t> Il s'agit ici de sélectionner le type de jonction qui convient pour caractériser les raccords entre les parois. </a:t>
          </a:r>
        </a:p>
        <a:p>
          <a:r>
            <a:rPr lang="fr-BE" sz="1100" b="1" u="sng" baseline="0">
              <a:solidFill>
                <a:sysClr val="windowText" lastClr="000000"/>
              </a:solidFill>
            </a:rPr>
            <a:t>Volume protégé du bâtiment :</a:t>
          </a:r>
          <a:r>
            <a:rPr lang="fr-BE" sz="1100" b="0" u="none" baseline="0">
              <a:solidFill>
                <a:sysClr val="windowText" lastClr="000000"/>
              </a:solidFill>
            </a:rPr>
            <a:t> Déjà préencodé dans la situation initiale.</a:t>
          </a:r>
        </a:p>
        <a:p>
          <a:endParaRPr lang="fr-BE" sz="1100" b="1" u="sng" baseline="0">
            <a:solidFill>
              <a:sysClr val="windowText" lastClr="000000"/>
            </a:solidFill>
          </a:endParaRPr>
        </a:p>
        <a:p>
          <a:r>
            <a:rPr lang="fr-BE" sz="1100" b="1" u="none" baseline="0">
              <a:solidFill>
                <a:sysClr val="windowText" lastClr="000000"/>
              </a:solidFill>
            </a:rPr>
            <a:t>3. Détermination des besoins de chauffage</a:t>
          </a:r>
        </a:p>
        <a:p>
          <a:r>
            <a:rPr lang="fr-BE" sz="1100" b="0" u="none" baseline="0">
              <a:solidFill>
                <a:sysClr val="windowText" lastClr="000000"/>
              </a:solidFill>
            </a:rPr>
            <a:t>Dans cette section, quelques petites adaptations par rapport à la Situation Initiale : la température intérieure et la réduction de température (normalement significativement plus petite que dans la Situation Initiale), le niveau d'étanchéité à l'air, la qualité de ventilation, les données relatives à la nouvelle chaudière et les investissement relatifs estimés. </a:t>
          </a:r>
        </a:p>
        <a:p>
          <a:endParaRPr lang="fr-BE" sz="1100" b="0" u="none" baseline="0">
            <a:solidFill>
              <a:sysClr val="windowText" lastClr="000000"/>
            </a:solidFill>
          </a:endParaRPr>
        </a:p>
        <a:p>
          <a:r>
            <a:rPr lang="fr-BE" sz="1100" b="1" u="none" baseline="0">
              <a:solidFill>
                <a:sysClr val="windowText" lastClr="000000"/>
              </a:solidFill>
            </a:rPr>
            <a:t>4. Bilan énergétique (chauffage)</a:t>
          </a:r>
        </a:p>
        <a:p>
          <a:r>
            <a:rPr lang="fr-BE" sz="1100" b="0" u="none" baseline="0">
              <a:solidFill>
                <a:sysClr val="windowText" lastClr="000000"/>
              </a:solidFill>
            </a:rPr>
            <a:t>C'est le même principe que pour longlet Situation Initiale. Avec les nouvelles exigences d'enveloppe, de ventilation et de chauffage, l'outil rechiffre les différents flux énergétiques et estime la nouvelle consommation pour équilibrer les déperditions. Normalement les déperditions étant plus ou moins réduites avec les nouvelles exigences, on aura une consommation plus faible dans cette nouvelle situation.  </a:t>
          </a:r>
        </a:p>
        <a:p>
          <a:r>
            <a:rPr lang="fr-BE" sz="1100" b="0" u="none" baseline="0">
              <a:solidFill>
                <a:sysClr val="windowText" lastClr="000000"/>
              </a:solidFill>
            </a:rPr>
            <a:t>Avec les différents chiffres d'investissement encodés, l'outil va aussi calculer l'économie financière liée à la réduction de quantité du combustible et rapporter cela à aux investissement pour déterminer en combien d'années ces investissements deviennent rentables. </a:t>
          </a:r>
        </a:p>
        <a:p>
          <a:r>
            <a:rPr lang="fr-BE" sz="1100" b="0" u="none" baseline="0">
              <a:solidFill>
                <a:sysClr val="windowText" lastClr="000000"/>
              </a:solidFill>
            </a:rPr>
            <a:t>2 graphiques sont fournis : </a:t>
          </a:r>
          <a:r>
            <a:rPr lang="fr-BE" sz="1100" b="0" i="0" u="none" baseline="0">
              <a:solidFill>
                <a:schemeClr val="dk1"/>
              </a:solidFill>
              <a:effectLst/>
              <a:latin typeface="+mn-lt"/>
              <a:ea typeface="+mn-ea"/>
              <a:cs typeface="+mn-cs"/>
            </a:rPr>
            <a:t>Le même</a:t>
          </a:r>
          <a:r>
            <a:rPr lang="fr-BE" sz="1100" b="0" i="0">
              <a:solidFill>
                <a:schemeClr val="dk1"/>
              </a:solidFill>
              <a:effectLst/>
              <a:latin typeface="+mn-lt"/>
              <a:ea typeface="+mn-ea"/>
              <a:cs typeface="+mn-cs"/>
            </a:rPr>
            <a:t> histogramme adapté qui met en vis-à-vis les déperditions</a:t>
          </a:r>
          <a:r>
            <a:rPr lang="fr-BE" sz="1100">
              <a:solidFill>
                <a:schemeClr val="dk1"/>
              </a:solidFill>
              <a:effectLst/>
              <a:latin typeface="+mn-lt"/>
              <a:ea typeface="+mn-ea"/>
              <a:cs typeface="+mn-cs"/>
            </a:rPr>
            <a:t> </a:t>
          </a:r>
          <a:r>
            <a:rPr lang="fr-BE" sz="1100" b="0" i="0">
              <a:solidFill>
                <a:schemeClr val="dk1"/>
              </a:solidFill>
              <a:effectLst/>
              <a:latin typeface="+mn-lt"/>
              <a:ea typeface="+mn-ea"/>
              <a:cs typeface="+mn-cs"/>
            </a:rPr>
            <a:t>et les apports</a:t>
          </a:r>
          <a:r>
            <a:rPr lang="fr-BE" sz="1100" b="0" i="0" baseline="0">
              <a:solidFill>
                <a:schemeClr val="dk1"/>
              </a:solidFill>
              <a:effectLst/>
              <a:latin typeface="+mn-lt"/>
              <a:ea typeface="+mn-ea"/>
              <a:cs typeface="+mn-cs"/>
            </a:rPr>
            <a:t> et</a:t>
          </a:r>
          <a:r>
            <a:rPr lang="fr-BE" sz="1100" b="0" i="0">
              <a:solidFill>
                <a:schemeClr val="dk1"/>
              </a:solidFill>
              <a:effectLst/>
              <a:latin typeface="+mn-lt"/>
              <a:ea typeface="+mn-ea"/>
              <a:cs typeface="+mn-cs"/>
            </a:rPr>
            <a:t> un nouveau graphique circulaire qui montre le bilan des flux énergétiques par poste</a:t>
          </a:r>
          <a:r>
            <a:rPr lang="fr-BE" sz="1100" b="0" i="0" baseline="0">
              <a:solidFill>
                <a:schemeClr val="dk1"/>
              </a:solidFill>
              <a:effectLst/>
              <a:latin typeface="+mn-lt"/>
              <a:ea typeface="+mn-ea"/>
              <a:cs typeface="+mn-cs"/>
            </a:rPr>
            <a:t>.</a:t>
          </a:r>
        </a:p>
        <a:p>
          <a:endParaRPr lang="fr-BE" sz="1100" b="0" i="0" u="none" baseline="0">
            <a:solidFill>
              <a:schemeClr val="dk1"/>
            </a:solidFill>
            <a:effectLst/>
            <a:latin typeface="+mn-lt"/>
            <a:ea typeface="+mn-ea"/>
            <a:cs typeface="+mn-cs"/>
          </a:endParaRPr>
        </a:p>
        <a:p>
          <a:r>
            <a:rPr lang="fr-BE" sz="1100" b="1" baseline="0">
              <a:solidFill>
                <a:schemeClr val="dk1"/>
              </a:solidFill>
              <a:effectLst/>
              <a:latin typeface="+mn-lt"/>
              <a:ea typeface="+mn-ea"/>
              <a:cs typeface="+mn-cs"/>
            </a:rPr>
            <a:t>5. Bilan CO2 global</a:t>
          </a:r>
        </a:p>
        <a:p>
          <a:r>
            <a:rPr lang="fr-BE" sz="1100" b="0" baseline="0">
              <a:solidFill>
                <a:schemeClr val="dk1"/>
              </a:solidFill>
              <a:effectLst/>
              <a:latin typeface="+mn-lt"/>
              <a:ea typeface="+mn-ea"/>
              <a:cs typeface="+mn-cs"/>
            </a:rPr>
            <a:t>Ce paragraphe reprend la synthèse globale des émissions et gain en CO2.  Si le bilan global est positif, c'est que le bâtiment émet encore du carbone.</a:t>
          </a:r>
          <a:endParaRPr lang="fr-BE" b="0">
            <a:effectLst/>
          </a:endParaRPr>
        </a:p>
        <a:p>
          <a:endParaRPr lang="fr-BE" sz="1100" b="0" u="none" baseline="0">
            <a:solidFill>
              <a:sysClr val="windowText" lastClr="000000"/>
            </a:solidFill>
          </a:endParaRPr>
        </a:p>
      </xdr:txBody>
    </xdr:sp>
    <xdr:clientData/>
  </xdr:twoCellAnchor>
  <xdr:twoCellAnchor editAs="oneCell">
    <xdr:from>
      <xdr:col>0</xdr:col>
      <xdr:colOff>396240</xdr:colOff>
      <xdr:row>170</xdr:row>
      <xdr:rowOff>137160</xdr:rowOff>
    </xdr:from>
    <xdr:to>
      <xdr:col>12</xdr:col>
      <xdr:colOff>197051</xdr:colOff>
      <xdr:row>192</xdr:row>
      <xdr:rowOff>8987</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96240" y="25862280"/>
          <a:ext cx="9219131" cy="3559908"/>
        </a:xfrm>
        <a:prstGeom prst="rect">
          <a:avLst/>
        </a:prstGeom>
      </xdr:spPr>
    </xdr:pic>
    <xdr:clientData/>
  </xdr:twoCellAnchor>
  <xdr:twoCellAnchor editAs="oneCell">
    <xdr:from>
      <xdr:col>0</xdr:col>
      <xdr:colOff>0</xdr:colOff>
      <xdr:row>197</xdr:row>
      <xdr:rowOff>0</xdr:rowOff>
    </xdr:from>
    <xdr:to>
      <xdr:col>10</xdr:col>
      <xdr:colOff>0</xdr:colOff>
      <xdr:row>214</xdr:row>
      <xdr:rowOff>123569</xdr:rowOff>
    </xdr:to>
    <xdr:pic>
      <xdr:nvPicPr>
        <xdr:cNvPr id="4" name="Image 3">
          <a:extLst>
            <a:ext uri="{FF2B5EF4-FFF2-40B4-BE49-F238E27FC236}">
              <a16:creationId xmlns:a16="http://schemas.microsoft.com/office/drawing/2014/main" id="{D5F7F9EF-3F0B-8554-8B05-8E498CA23E87}"/>
            </a:ext>
          </a:extLst>
        </xdr:cNvPr>
        <xdr:cNvPicPr>
          <a:picLocks noChangeAspect="1"/>
        </xdr:cNvPicPr>
      </xdr:nvPicPr>
      <xdr:blipFill>
        <a:blip xmlns:r="http://schemas.openxmlformats.org/officeDocument/2006/relationships" r:embed="rId2"/>
        <a:stretch>
          <a:fillRect/>
        </a:stretch>
      </xdr:blipFill>
      <xdr:spPr>
        <a:xfrm>
          <a:off x="0" y="30281880"/>
          <a:ext cx="7848600" cy="2973450"/>
        </a:xfrm>
        <a:prstGeom prst="rect">
          <a:avLst/>
        </a:prstGeom>
      </xdr:spPr>
    </xdr:pic>
    <xdr:clientData/>
  </xdr:twoCellAnchor>
  <xdr:twoCellAnchor editAs="oneCell">
    <xdr:from>
      <xdr:col>0</xdr:col>
      <xdr:colOff>1</xdr:colOff>
      <xdr:row>218</xdr:row>
      <xdr:rowOff>1</xdr:rowOff>
    </xdr:from>
    <xdr:to>
      <xdr:col>4</xdr:col>
      <xdr:colOff>53341</xdr:colOff>
      <xdr:row>238</xdr:row>
      <xdr:rowOff>47128</xdr:rowOff>
    </xdr:to>
    <xdr:pic>
      <xdr:nvPicPr>
        <xdr:cNvPr id="5" name="Image 4">
          <a:extLst>
            <a:ext uri="{FF2B5EF4-FFF2-40B4-BE49-F238E27FC236}">
              <a16:creationId xmlns:a16="http://schemas.microsoft.com/office/drawing/2014/main" id="{FB1CBD91-98D3-B548-6ABF-F150B2606AC5}"/>
            </a:ext>
          </a:extLst>
        </xdr:cNvPr>
        <xdr:cNvPicPr>
          <a:picLocks noChangeAspect="1"/>
        </xdr:cNvPicPr>
      </xdr:nvPicPr>
      <xdr:blipFill>
        <a:blip xmlns:r="http://schemas.openxmlformats.org/officeDocument/2006/relationships" r:embed="rId3"/>
        <a:stretch>
          <a:fillRect/>
        </a:stretch>
      </xdr:blipFill>
      <xdr:spPr>
        <a:xfrm>
          <a:off x="1" y="33802321"/>
          <a:ext cx="3192780" cy="3399928"/>
        </a:xfrm>
        <a:prstGeom prst="rect">
          <a:avLst/>
        </a:prstGeom>
      </xdr:spPr>
    </xdr:pic>
    <xdr:clientData/>
  </xdr:twoCellAnchor>
  <xdr:twoCellAnchor editAs="oneCell">
    <xdr:from>
      <xdr:col>0</xdr:col>
      <xdr:colOff>45720</xdr:colOff>
      <xdr:row>6</xdr:row>
      <xdr:rowOff>158115</xdr:rowOff>
    </xdr:from>
    <xdr:to>
      <xdr:col>3</xdr:col>
      <xdr:colOff>205740</xdr:colOff>
      <xdr:row>13</xdr:row>
      <xdr:rowOff>74414</xdr:rowOff>
    </xdr:to>
    <xdr:pic>
      <xdr:nvPicPr>
        <xdr:cNvPr id="6" name="Image 5">
          <a:extLst>
            <a:ext uri="{FF2B5EF4-FFF2-40B4-BE49-F238E27FC236}">
              <a16:creationId xmlns:a16="http://schemas.microsoft.com/office/drawing/2014/main" id="{BDFDBE39-E4FA-4B35-AB9F-BB526C68284B}"/>
            </a:ext>
            <a:ext uri="{147F2762-F138-4A5C-976F-8EAC2B608ADB}">
              <a16:predDERef xmlns:a16="http://schemas.microsoft.com/office/drawing/2014/main" pred="{FB1CBD91-98D3-B548-6ABF-F150B2606AC5}"/>
            </a:ext>
          </a:extLst>
        </xdr:cNvPr>
        <xdr:cNvPicPr>
          <a:picLocks noChangeAspect="1"/>
        </xdr:cNvPicPr>
      </xdr:nvPicPr>
      <xdr:blipFill>
        <a:blip xmlns:r="http://schemas.openxmlformats.org/officeDocument/2006/relationships" r:embed="rId4"/>
        <a:stretch>
          <a:fillRect/>
        </a:stretch>
      </xdr:blipFill>
      <xdr:spPr>
        <a:xfrm>
          <a:off x="45720" y="1194435"/>
          <a:ext cx="2514600" cy="1089779"/>
        </a:xfrm>
        <a:prstGeom prst="rect">
          <a:avLst/>
        </a:prstGeom>
      </xdr:spPr>
    </xdr:pic>
    <xdr:clientData/>
  </xdr:twoCellAnchor>
  <xdr:twoCellAnchor editAs="oneCell">
    <xdr:from>
      <xdr:col>3</xdr:col>
      <xdr:colOff>468630</xdr:colOff>
      <xdr:row>6</xdr:row>
      <xdr:rowOff>118110</xdr:rowOff>
    </xdr:from>
    <xdr:to>
      <xdr:col>6</xdr:col>
      <xdr:colOff>180294</xdr:colOff>
      <xdr:row>14</xdr:row>
      <xdr:rowOff>11430</xdr:rowOff>
    </xdr:to>
    <xdr:pic>
      <xdr:nvPicPr>
        <xdr:cNvPr id="7" name="Image 6">
          <a:extLst>
            <a:ext uri="{FF2B5EF4-FFF2-40B4-BE49-F238E27FC236}">
              <a16:creationId xmlns:a16="http://schemas.microsoft.com/office/drawing/2014/main" id="{236B303D-03C7-435D-AB93-C504BCE3DB8C}"/>
            </a:ext>
            <a:ext uri="{147F2762-F138-4A5C-976F-8EAC2B608ADB}">
              <a16:predDERef xmlns:a16="http://schemas.microsoft.com/office/drawing/2014/main" pred="{6527487F-4F9A-4E5A-8E76-20E54C377908}"/>
            </a:ext>
          </a:extLst>
        </xdr:cNvPr>
        <xdr:cNvPicPr>
          <a:picLocks noChangeAspect="1"/>
        </xdr:cNvPicPr>
      </xdr:nvPicPr>
      <xdr:blipFill>
        <a:blip xmlns:r="http://schemas.openxmlformats.org/officeDocument/2006/relationships" r:embed="rId5"/>
        <a:stretch>
          <a:fillRect/>
        </a:stretch>
      </xdr:blipFill>
      <xdr:spPr>
        <a:xfrm>
          <a:off x="2823210" y="1154430"/>
          <a:ext cx="2066244" cy="1234440"/>
        </a:xfrm>
        <a:prstGeom prst="rect">
          <a:avLst/>
        </a:prstGeom>
      </xdr:spPr>
    </xdr:pic>
    <xdr:clientData/>
  </xdr:twoCellAnchor>
  <xdr:twoCellAnchor editAs="oneCell">
    <xdr:from>
      <xdr:col>7</xdr:col>
      <xdr:colOff>7620</xdr:colOff>
      <xdr:row>6</xdr:row>
      <xdr:rowOff>99060</xdr:rowOff>
    </xdr:from>
    <xdr:to>
      <xdr:col>10</xdr:col>
      <xdr:colOff>572724</xdr:colOff>
      <xdr:row>14</xdr:row>
      <xdr:rowOff>0</xdr:rowOff>
    </xdr:to>
    <xdr:pic>
      <xdr:nvPicPr>
        <xdr:cNvPr id="8" name="Image 7">
          <a:extLst>
            <a:ext uri="{FF2B5EF4-FFF2-40B4-BE49-F238E27FC236}">
              <a16:creationId xmlns:a16="http://schemas.microsoft.com/office/drawing/2014/main" id="{95E1BE49-6730-420F-90AC-CD0E4DAA0E92}"/>
            </a:ext>
            <a:ext uri="{147F2762-F138-4A5C-976F-8EAC2B608ADB}">
              <a16:predDERef xmlns:a16="http://schemas.microsoft.com/office/drawing/2014/main" pred="{F47CB887-EB99-45E0-A80B-2053DDBB5D13}"/>
            </a:ext>
          </a:extLst>
        </xdr:cNvPr>
        <xdr:cNvPicPr>
          <a:picLocks noChangeAspect="1"/>
        </xdr:cNvPicPr>
      </xdr:nvPicPr>
      <xdr:blipFill>
        <a:blip xmlns:r="http://schemas.openxmlformats.org/officeDocument/2006/relationships" r:embed="rId6"/>
        <a:stretch>
          <a:fillRect/>
        </a:stretch>
      </xdr:blipFill>
      <xdr:spPr>
        <a:xfrm>
          <a:off x="5501640" y="1135380"/>
          <a:ext cx="2919684" cy="12363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1210218</xdr:colOff>
      <xdr:row>139</xdr:row>
      <xdr:rowOff>131000</xdr:rowOff>
    </xdr:from>
    <xdr:to>
      <xdr:col>2</xdr:col>
      <xdr:colOff>1469206</xdr:colOff>
      <xdr:row>141</xdr:row>
      <xdr:rowOff>21501</xdr:rowOff>
    </xdr:to>
    <xdr:pic>
      <xdr:nvPicPr>
        <xdr:cNvPr id="7" name="Image 6" descr="C Vint ">
          <a:extLst>
            <a:ext uri="{FF2B5EF4-FFF2-40B4-BE49-F238E27FC236}">
              <a16:creationId xmlns:a16="http://schemas.microsoft.com/office/drawing/2014/main" id="{00000000-0008-0000-01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881" t="2397" r="36877" b="54808"/>
        <a:stretch/>
      </xdr:blipFill>
      <xdr:spPr bwMode="auto">
        <a:xfrm>
          <a:off x="1482361" y="16301729"/>
          <a:ext cx="255178" cy="2502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387163</xdr:colOff>
      <xdr:row>139</xdr:row>
      <xdr:rowOff>58831</xdr:rowOff>
    </xdr:from>
    <xdr:to>
      <xdr:col>4</xdr:col>
      <xdr:colOff>644674</xdr:colOff>
      <xdr:row>141</xdr:row>
      <xdr:rowOff>3586</xdr:rowOff>
    </xdr:to>
    <xdr:pic>
      <xdr:nvPicPr>
        <xdr:cNvPr id="10" name="Image 9" descr="C Vint ">
          <a:extLst>
            <a:ext uri="{FF2B5EF4-FFF2-40B4-BE49-F238E27FC236}">
              <a16:creationId xmlns:a16="http://schemas.microsoft.com/office/drawing/2014/main" id="{00000000-0008-0000-0100-00000A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881" t="2397" r="36877" b="54808"/>
        <a:stretch/>
      </xdr:blipFill>
      <xdr:spPr bwMode="auto">
        <a:xfrm>
          <a:off x="4959163" y="17069360"/>
          <a:ext cx="257511" cy="2695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352985</xdr:colOff>
      <xdr:row>249</xdr:row>
      <xdr:rowOff>24848</xdr:rowOff>
    </xdr:from>
    <xdr:to>
      <xdr:col>7</xdr:col>
      <xdr:colOff>911087</xdr:colOff>
      <xdr:row>269</xdr:row>
      <xdr:rowOff>112060</xdr:rowOff>
    </xdr:to>
    <xdr:graphicFrame macro="">
      <xdr:nvGraphicFramePr>
        <xdr:cNvPr id="3" name="Graphique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2724150</xdr:colOff>
          <xdr:row>17</xdr:row>
          <xdr:rowOff>107950</xdr:rowOff>
        </xdr:from>
        <xdr:to>
          <xdr:col>4</xdr:col>
          <xdr:colOff>552450</xdr:colOff>
          <xdr:row>18</xdr:row>
          <xdr:rowOff>133350</xdr:rowOff>
        </xdr:to>
        <xdr:sp macro="" textlink="">
          <xdr:nvSpPr>
            <xdr:cNvPr id="1180" name="Drop Down 1" hidden="1">
              <a:extLst>
                <a:ext uri="{63B3BB69-23CF-44E3-9099-C40C66FF867C}">
                  <a14:compatExt spid="_x0000_s1180"/>
                </a:ext>
                <a:ext uri="{FF2B5EF4-FFF2-40B4-BE49-F238E27FC236}">
                  <a16:creationId xmlns:a16="http://schemas.microsoft.com/office/drawing/2014/main" id="{00000000-0008-0000-01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250687</xdr:colOff>
      <xdr:row>230</xdr:row>
      <xdr:rowOff>125272</xdr:rowOff>
    </xdr:from>
    <xdr:to>
      <xdr:col>20</xdr:col>
      <xdr:colOff>696908</xdr:colOff>
      <xdr:row>252</xdr:row>
      <xdr:rowOff>159000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1277471</xdr:colOff>
      <xdr:row>293</xdr:row>
      <xdr:rowOff>72166</xdr:rowOff>
    </xdr:from>
    <xdr:to>
      <xdr:col>5</xdr:col>
      <xdr:colOff>350968</xdr:colOff>
      <xdr:row>309</xdr:row>
      <xdr:rowOff>120239</xdr:rowOff>
    </xdr:to>
    <xdr:graphicFrame macro="">
      <xdr:nvGraphicFramePr>
        <xdr:cNvPr id="8" name="Graphique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7</xdr:col>
      <xdr:colOff>284921</xdr:colOff>
      <xdr:row>0</xdr:row>
      <xdr:rowOff>53010</xdr:rowOff>
    </xdr:from>
    <xdr:to>
      <xdr:col>8</xdr:col>
      <xdr:colOff>92847</xdr:colOff>
      <xdr:row>0</xdr:row>
      <xdr:rowOff>460701</xdr:rowOff>
    </xdr:to>
    <xdr:pic>
      <xdr:nvPicPr>
        <xdr:cNvPr id="4" name="Image 3">
          <a:extLst>
            <a:ext uri="{FF2B5EF4-FFF2-40B4-BE49-F238E27FC236}">
              <a16:creationId xmlns:a16="http://schemas.microsoft.com/office/drawing/2014/main" id="{A10C98FD-60DC-45D3-B329-B33DF48BC040}"/>
            </a:ext>
            <a:ext uri="{147F2762-F138-4A5C-976F-8EAC2B608ADB}">
              <a16:predDERef xmlns:a16="http://schemas.microsoft.com/office/drawing/2014/main" pred="{00000000-0008-0000-0100-000008000000}"/>
            </a:ext>
          </a:extLst>
        </xdr:cNvPr>
        <xdr:cNvPicPr>
          <a:picLocks noChangeAspect="1"/>
        </xdr:cNvPicPr>
      </xdr:nvPicPr>
      <xdr:blipFill>
        <a:blip xmlns:r="http://schemas.openxmlformats.org/officeDocument/2006/relationships" r:embed="rId5"/>
        <a:stretch>
          <a:fillRect/>
        </a:stretch>
      </xdr:blipFill>
      <xdr:spPr>
        <a:xfrm>
          <a:off x="7739269" y="53010"/>
          <a:ext cx="769620" cy="407691"/>
        </a:xfrm>
        <a:prstGeom prst="rect">
          <a:avLst/>
        </a:prstGeom>
      </xdr:spPr>
    </xdr:pic>
    <xdr:clientData/>
  </xdr:twoCellAnchor>
  <xdr:twoCellAnchor editAs="oneCell">
    <xdr:from>
      <xdr:col>8</xdr:col>
      <xdr:colOff>165651</xdr:colOff>
      <xdr:row>0</xdr:row>
      <xdr:rowOff>62535</xdr:rowOff>
    </xdr:from>
    <xdr:to>
      <xdr:col>9</xdr:col>
      <xdr:colOff>213026</xdr:colOff>
      <xdr:row>1</xdr:row>
      <xdr:rowOff>16312</xdr:rowOff>
    </xdr:to>
    <xdr:pic>
      <xdr:nvPicPr>
        <xdr:cNvPr id="5" name="Image 4">
          <a:extLst>
            <a:ext uri="{FF2B5EF4-FFF2-40B4-BE49-F238E27FC236}">
              <a16:creationId xmlns:a16="http://schemas.microsoft.com/office/drawing/2014/main" id="{9405F92B-334A-46CD-BD3C-4735886D945C}"/>
            </a:ext>
            <a:ext uri="{147F2762-F138-4A5C-976F-8EAC2B608ADB}">
              <a16:predDERef xmlns:a16="http://schemas.microsoft.com/office/drawing/2014/main" pred="{5FDF3647-CC14-42B2-883F-C01D65B7DD09}"/>
            </a:ext>
          </a:extLst>
        </xdr:cNvPr>
        <xdr:cNvPicPr>
          <a:picLocks noChangeAspect="1"/>
        </xdr:cNvPicPr>
      </xdr:nvPicPr>
      <xdr:blipFill>
        <a:blip xmlns:r="http://schemas.openxmlformats.org/officeDocument/2006/relationships" r:embed="rId6"/>
        <a:stretch>
          <a:fillRect/>
        </a:stretch>
      </xdr:blipFill>
      <xdr:spPr>
        <a:xfrm>
          <a:off x="8587408" y="62535"/>
          <a:ext cx="805647" cy="464980"/>
        </a:xfrm>
        <a:prstGeom prst="rect">
          <a:avLst/>
        </a:prstGeom>
      </xdr:spPr>
    </xdr:pic>
    <xdr:clientData/>
  </xdr:twoCellAnchor>
  <xdr:twoCellAnchor editAs="oneCell">
    <xdr:from>
      <xdr:col>13</xdr:col>
      <xdr:colOff>313496</xdr:colOff>
      <xdr:row>0</xdr:row>
      <xdr:rowOff>72060</xdr:rowOff>
    </xdr:from>
    <xdr:to>
      <xdr:col>14</xdr:col>
      <xdr:colOff>624875</xdr:colOff>
      <xdr:row>1</xdr:row>
      <xdr:rowOff>36318</xdr:rowOff>
    </xdr:to>
    <xdr:pic>
      <xdr:nvPicPr>
        <xdr:cNvPr id="6" name="Image 5">
          <a:extLst>
            <a:ext uri="{FF2B5EF4-FFF2-40B4-BE49-F238E27FC236}">
              <a16:creationId xmlns:a16="http://schemas.microsoft.com/office/drawing/2014/main" id="{8E7D4AA9-BCA4-4DCC-90D8-E1069E3460EB}"/>
            </a:ext>
            <a:ext uri="{147F2762-F138-4A5C-976F-8EAC2B608ADB}">
              <a16:predDERef xmlns:a16="http://schemas.microsoft.com/office/drawing/2014/main" pred="{51A543ED-C7EC-4575-8DB5-60B7186277F9}"/>
            </a:ext>
          </a:extLst>
        </xdr:cNvPr>
        <xdr:cNvPicPr>
          <a:picLocks noChangeAspect="1"/>
        </xdr:cNvPicPr>
      </xdr:nvPicPr>
      <xdr:blipFill>
        <a:blip xmlns:r="http://schemas.openxmlformats.org/officeDocument/2006/relationships" r:embed="rId7"/>
        <a:stretch>
          <a:fillRect/>
        </a:stretch>
      </xdr:blipFill>
      <xdr:spPr>
        <a:xfrm>
          <a:off x="9484000" y="72060"/>
          <a:ext cx="1093257" cy="467841"/>
        </a:xfrm>
        <a:prstGeom prst="rect">
          <a:avLst/>
        </a:prstGeom>
      </xdr:spPr>
    </xdr:pic>
    <xdr:clientData/>
  </xdr:twoCellAnchor>
  <xdr:twoCellAnchor>
    <xdr:from>
      <xdr:col>14</xdr:col>
      <xdr:colOff>282836</xdr:colOff>
      <xdr:row>252</xdr:row>
      <xdr:rowOff>164055</xdr:rowOff>
    </xdr:from>
    <xdr:to>
      <xdr:col>20</xdr:col>
      <xdr:colOff>138504</xdr:colOff>
      <xdr:row>269</xdr:row>
      <xdr:rowOff>14344</xdr:rowOff>
    </xdr:to>
    <xdr:graphicFrame macro="">
      <xdr:nvGraphicFramePr>
        <xdr:cNvPr id="9" name="Graphique 8">
          <a:extLst>
            <a:ext uri="{FF2B5EF4-FFF2-40B4-BE49-F238E27FC236}">
              <a16:creationId xmlns:a16="http://schemas.microsoft.com/office/drawing/2014/main" id="{4525617C-24EB-E227-4BBA-69C19BE5838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1127283</xdr:colOff>
      <xdr:row>135</xdr:row>
      <xdr:rowOff>152087</xdr:rowOff>
    </xdr:from>
    <xdr:to>
      <xdr:col>2</xdr:col>
      <xdr:colOff>1350883</xdr:colOff>
      <xdr:row>137</xdr:row>
      <xdr:rowOff>18575</xdr:rowOff>
    </xdr:to>
    <xdr:pic>
      <xdr:nvPicPr>
        <xdr:cNvPr id="6" name="Image 5" descr="C Vint ">
          <a:extLst>
            <a:ext uri="{FF2B5EF4-FFF2-40B4-BE49-F238E27FC236}">
              <a16:creationId xmlns:a16="http://schemas.microsoft.com/office/drawing/2014/main" id="{00000000-0008-0000-0200-000006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881" t="2397" r="36877" b="54808"/>
        <a:stretch/>
      </xdr:blipFill>
      <xdr:spPr bwMode="auto">
        <a:xfrm>
          <a:off x="1395174" y="17314946"/>
          <a:ext cx="231220" cy="2193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387163</xdr:colOff>
      <xdr:row>135</xdr:row>
      <xdr:rowOff>58831</xdr:rowOff>
    </xdr:from>
    <xdr:to>
      <xdr:col>4</xdr:col>
      <xdr:colOff>644674</xdr:colOff>
      <xdr:row>137</xdr:row>
      <xdr:rowOff>3584</xdr:rowOff>
    </xdr:to>
    <xdr:pic>
      <xdr:nvPicPr>
        <xdr:cNvPr id="7" name="Image 6" descr="C Vint ">
          <a:extLst>
            <a:ext uri="{FF2B5EF4-FFF2-40B4-BE49-F238E27FC236}">
              <a16:creationId xmlns:a16="http://schemas.microsoft.com/office/drawing/2014/main" id="{00000000-0008-0000-0200-000007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8881" t="2397" r="36877" b="54808"/>
        <a:stretch/>
      </xdr:blipFill>
      <xdr:spPr bwMode="auto">
        <a:xfrm>
          <a:off x="4949638" y="16908556"/>
          <a:ext cx="257511" cy="272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230</xdr:row>
      <xdr:rowOff>72536</xdr:rowOff>
    </xdr:from>
    <xdr:to>
      <xdr:col>10</xdr:col>
      <xdr:colOff>131157</xdr:colOff>
      <xdr:row>251</xdr:row>
      <xdr:rowOff>156692</xdr:rowOff>
    </xdr:to>
    <xdr:graphicFrame macro="">
      <xdr:nvGraphicFramePr>
        <xdr:cNvPr id="8" name="Graphique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2</xdr:col>
          <xdr:colOff>2133600</xdr:colOff>
          <xdr:row>5</xdr:row>
          <xdr:rowOff>50800</xdr:rowOff>
        </xdr:from>
        <xdr:to>
          <xdr:col>4</xdr:col>
          <xdr:colOff>279400</xdr:colOff>
          <xdr:row>6</xdr:row>
          <xdr:rowOff>19050</xdr:rowOff>
        </xdr:to>
        <xdr:sp macro="" textlink="">
          <xdr:nvSpPr>
            <xdr:cNvPr id="49166" name="Drop Down 1" hidden="1">
              <a:extLst>
                <a:ext uri="{63B3BB69-23CF-44E3-9099-C40C66FF867C}">
                  <a14:compatExt spid="_x0000_s49166"/>
                </a:ext>
                <a:ext uri="{FF2B5EF4-FFF2-40B4-BE49-F238E27FC236}">
                  <a16:creationId xmlns:a16="http://schemas.microsoft.com/office/drawing/2014/main" id="{00000000-0008-0000-0200-00000EC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15</xdr:col>
      <xdr:colOff>24063</xdr:colOff>
      <xdr:row>229</xdr:row>
      <xdr:rowOff>85461</xdr:rowOff>
    </xdr:from>
    <xdr:to>
      <xdr:col>20</xdr:col>
      <xdr:colOff>338042</xdr:colOff>
      <xdr:row>256</xdr:row>
      <xdr:rowOff>127651</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591628</xdr:colOff>
      <xdr:row>229</xdr:row>
      <xdr:rowOff>80180</xdr:rowOff>
    </xdr:from>
    <xdr:to>
      <xdr:col>28</xdr:col>
      <xdr:colOff>251605</xdr:colOff>
      <xdr:row>250</xdr:row>
      <xdr:rowOff>82156</xdr:rowOff>
    </xdr:to>
    <xdr:graphicFrame macro="">
      <xdr:nvGraphicFramePr>
        <xdr:cNvPr id="3" name="Graphique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18</xdr:col>
      <xdr:colOff>663051</xdr:colOff>
      <xdr:row>325</xdr:row>
      <xdr:rowOff>137494</xdr:rowOff>
    </xdr:from>
    <xdr:to>
      <xdr:col>25</xdr:col>
      <xdr:colOff>696669</xdr:colOff>
      <xdr:row>347</xdr:row>
      <xdr:rowOff>134469</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358700</xdr:colOff>
      <xdr:row>343</xdr:row>
      <xdr:rowOff>55117</xdr:rowOff>
    </xdr:from>
    <xdr:to>
      <xdr:col>11</xdr:col>
      <xdr:colOff>97268</xdr:colOff>
      <xdr:row>369</xdr:row>
      <xdr:rowOff>149678</xdr:rowOff>
    </xdr:to>
    <xdr:graphicFrame macro="">
      <xdr:nvGraphicFramePr>
        <xdr:cNvPr id="9" name="Graphique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xdr:col>
      <xdr:colOff>382768</xdr:colOff>
      <xdr:row>226</xdr:row>
      <xdr:rowOff>28753</xdr:rowOff>
    </xdr:from>
    <xdr:to>
      <xdr:col>37</xdr:col>
      <xdr:colOff>391938</xdr:colOff>
      <xdr:row>253</xdr:row>
      <xdr:rowOff>77280</xdr:rowOff>
    </xdr:to>
    <xdr:graphicFrame macro="">
      <xdr:nvGraphicFramePr>
        <xdr:cNvPr id="11" name="Graphique 10">
          <a:extLst>
            <a:ext uri="{FF2B5EF4-FFF2-40B4-BE49-F238E27FC236}">
              <a16:creationId xmlns:a16="http://schemas.microsoft.com/office/drawing/2014/main" id="{00000000-0008-0000-02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73750</xdr:colOff>
      <xdr:row>261</xdr:row>
      <xdr:rowOff>91440</xdr:rowOff>
    </xdr:from>
    <xdr:to>
      <xdr:col>15</xdr:col>
      <xdr:colOff>721178</xdr:colOff>
      <xdr:row>297</xdr:row>
      <xdr:rowOff>149679</xdr:rowOff>
    </xdr:to>
    <xdr:graphicFrame macro="">
      <xdr:nvGraphicFramePr>
        <xdr:cNvPr id="12" name="Graphique 11">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342900</xdr:colOff>
      <xdr:row>317</xdr:row>
      <xdr:rowOff>59055</xdr:rowOff>
    </xdr:from>
    <xdr:to>
      <xdr:col>11</xdr:col>
      <xdr:colOff>94738</xdr:colOff>
      <xdr:row>322</xdr:row>
      <xdr:rowOff>104201</xdr:rowOff>
    </xdr:to>
    <xdr:sp macro="" textlink="">
      <xdr:nvSpPr>
        <xdr:cNvPr id="13" name="ZoneTexte 6">
          <a:extLst>
            <a:ext uri="{FF2B5EF4-FFF2-40B4-BE49-F238E27FC236}">
              <a16:creationId xmlns:a16="http://schemas.microsoft.com/office/drawing/2014/main" id="{00000000-0008-0000-0200-00000D000000}"/>
            </a:ext>
          </a:extLst>
        </xdr:cNvPr>
        <xdr:cNvSpPr txBox="1"/>
      </xdr:nvSpPr>
      <xdr:spPr>
        <a:xfrm>
          <a:off x="914400" y="50503455"/>
          <a:ext cx="9419713" cy="1188146"/>
        </a:xfrm>
        <a:prstGeom prst="rect">
          <a:avLst/>
        </a:prstGeom>
        <a:noFill/>
        <a:ln w="12700">
          <a:solidFill>
            <a:schemeClr val="tx1"/>
          </a:solidFill>
        </a:ln>
      </xdr:spPr>
      <xdr:txBody>
        <a:bodyPr wrap="square">
          <a:spAutoFit/>
        </a:bodyPr>
        <a:lstStyle>
          <a:defPPr>
            <a:defRPr lang="fr-FR"/>
          </a:defPPr>
          <a:lvl1pPr marL="0" algn="l" defTabSz="642915" rtl="0" eaLnBrk="1" latinLnBrk="0" hangingPunct="1">
            <a:defRPr sz="1266" kern="1200">
              <a:solidFill>
                <a:schemeClr val="tx1"/>
              </a:solidFill>
              <a:latin typeface="+mn-lt"/>
              <a:ea typeface="+mn-ea"/>
              <a:cs typeface="+mn-cs"/>
            </a:defRPr>
          </a:lvl1pPr>
          <a:lvl2pPr marL="321457" algn="l" defTabSz="642915" rtl="0" eaLnBrk="1" latinLnBrk="0" hangingPunct="1">
            <a:defRPr sz="1266" kern="1200">
              <a:solidFill>
                <a:schemeClr val="tx1"/>
              </a:solidFill>
              <a:latin typeface="+mn-lt"/>
              <a:ea typeface="+mn-ea"/>
              <a:cs typeface="+mn-cs"/>
            </a:defRPr>
          </a:lvl2pPr>
          <a:lvl3pPr marL="642915" algn="l" defTabSz="642915" rtl="0" eaLnBrk="1" latinLnBrk="0" hangingPunct="1">
            <a:defRPr sz="1266" kern="1200">
              <a:solidFill>
                <a:schemeClr val="tx1"/>
              </a:solidFill>
              <a:latin typeface="+mn-lt"/>
              <a:ea typeface="+mn-ea"/>
              <a:cs typeface="+mn-cs"/>
            </a:defRPr>
          </a:lvl3pPr>
          <a:lvl4pPr marL="964372" algn="l" defTabSz="642915" rtl="0" eaLnBrk="1" latinLnBrk="0" hangingPunct="1">
            <a:defRPr sz="1266" kern="1200">
              <a:solidFill>
                <a:schemeClr val="tx1"/>
              </a:solidFill>
              <a:latin typeface="+mn-lt"/>
              <a:ea typeface="+mn-ea"/>
              <a:cs typeface="+mn-cs"/>
            </a:defRPr>
          </a:lvl4pPr>
          <a:lvl5pPr marL="1285829" algn="l" defTabSz="642915" rtl="0" eaLnBrk="1" latinLnBrk="0" hangingPunct="1">
            <a:defRPr sz="1266" kern="1200">
              <a:solidFill>
                <a:schemeClr val="tx1"/>
              </a:solidFill>
              <a:latin typeface="+mn-lt"/>
              <a:ea typeface="+mn-ea"/>
              <a:cs typeface="+mn-cs"/>
            </a:defRPr>
          </a:lvl5pPr>
          <a:lvl6pPr marL="1607287" algn="l" defTabSz="642915" rtl="0" eaLnBrk="1" latinLnBrk="0" hangingPunct="1">
            <a:defRPr sz="1266" kern="1200">
              <a:solidFill>
                <a:schemeClr val="tx1"/>
              </a:solidFill>
              <a:latin typeface="+mn-lt"/>
              <a:ea typeface="+mn-ea"/>
              <a:cs typeface="+mn-cs"/>
            </a:defRPr>
          </a:lvl6pPr>
          <a:lvl7pPr marL="1928744" algn="l" defTabSz="642915" rtl="0" eaLnBrk="1" latinLnBrk="0" hangingPunct="1">
            <a:defRPr sz="1266" kern="1200">
              <a:solidFill>
                <a:schemeClr val="tx1"/>
              </a:solidFill>
              <a:latin typeface="+mn-lt"/>
              <a:ea typeface="+mn-ea"/>
              <a:cs typeface="+mn-cs"/>
            </a:defRPr>
          </a:lvl7pPr>
          <a:lvl8pPr marL="2250201" algn="l" defTabSz="642915" rtl="0" eaLnBrk="1" latinLnBrk="0" hangingPunct="1">
            <a:defRPr sz="1266" kern="1200">
              <a:solidFill>
                <a:schemeClr val="tx1"/>
              </a:solidFill>
              <a:latin typeface="+mn-lt"/>
              <a:ea typeface="+mn-ea"/>
              <a:cs typeface="+mn-cs"/>
            </a:defRPr>
          </a:lvl8pPr>
          <a:lvl9pPr marL="2571659" algn="l" defTabSz="642915" rtl="0" eaLnBrk="1" latinLnBrk="0" hangingPunct="1">
            <a:defRPr sz="1266" kern="1200">
              <a:solidFill>
                <a:schemeClr val="tx1"/>
              </a:solidFill>
              <a:latin typeface="+mn-lt"/>
              <a:ea typeface="+mn-ea"/>
              <a:cs typeface="+mn-cs"/>
            </a:defRPr>
          </a:lvl9pPr>
        </a:lstStyle>
        <a:p>
          <a:r>
            <a:rPr lang="fr-FR" sz="1400" b="0" i="0" u="none" strike="noStrike" kern="1200" baseline="0">
              <a:latin typeface="+mn-lt"/>
              <a:ea typeface="+mn-ea"/>
              <a:cs typeface="+mn-cs"/>
            </a:rPr>
            <a:t>Dans la SRLT, la neutralité carbone est définie comme </a:t>
          </a:r>
        </a:p>
        <a:p>
          <a:pPr marL="342900" indent="-342900">
            <a:buFontTx/>
            <a:buChar char="-"/>
          </a:pPr>
          <a:r>
            <a:rPr lang="fr-FR" sz="1400" b="0" i="0" u="none" strike="noStrike" kern="1200" baseline="0">
              <a:latin typeface="+mn-lt"/>
              <a:ea typeface="+mn-ea"/>
              <a:cs typeface="+mn-cs"/>
            </a:rPr>
            <a:t>la </a:t>
          </a:r>
          <a:r>
            <a:rPr lang="fr-FR" sz="1400" b="1" i="0" u="none" strike="noStrike" kern="1200" baseline="0">
              <a:latin typeface="+mn-lt"/>
              <a:ea typeface="+mn-ea"/>
              <a:cs typeface="+mn-cs"/>
            </a:rPr>
            <a:t>compression des besoins </a:t>
          </a:r>
          <a:r>
            <a:rPr lang="fr-FR" sz="1400" b="0" i="0" u="none" strike="noStrike" kern="1200" baseline="0">
              <a:latin typeface="+mn-lt"/>
              <a:ea typeface="+mn-ea"/>
              <a:cs typeface="+mn-cs"/>
            </a:rPr>
            <a:t>(chauffage, ECS, refroidissement, ventilation et éclairage) au niveau d’un bâtiment neuf équivalent, </a:t>
          </a:r>
        </a:p>
        <a:p>
          <a:pPr marL="342900" indent="-342900">
            <a:buFontTx/>
            <a:buChar char="-"/>
          </a:pPr>
          <a:r>
            <a:rPr lang="fr-FR" sz="1400" b="0" i="0" u="none" strike="noStrike" kern="1200" baseline="0">
              <a:latin typeface="+mn-lt"/>
              <a:ea typeface="+mn-ea"/>
              <a:cs typeface="+mn-cs"/>
            </a:rPr>
            <a:t>le maintien des autres consommations électriques au niveau actuel, </a:t>
          </a:r>
        </a:p>
        <a:p>
          <a:pPr marL="342900" indent="-342900">
            <a:buFontTx/>
            <a:buChar char="-"/>
          </a:pPr>
          <a:r>
            <a:rPr lang="fr-FR" sz="1400" b="0" i="0" u="none" strike="noStrike" kern="1200" baseline="0">
              <a:latin typeface="+mn-lt"/>
              <a:ea typeface="+mn-ea"/>
              <a:cs typeface="+mn-cs"/>
            </a:rPr>
            <a:t>et la couverture de ces besoins par une production renouvelable, qu’elle soit autoproduite ou achetée.</a:t>
          </a:r>
          <a:endParaRPr lang="fr-FR" sz="1400"/>
        </a:p>
      </xdr:txBody>
    </xdr:sp>
    <xdr:clientData/>
  </xdr:twoCellAnchor>
  <xdr:twoCellAnchor>
    <xdr:from>
      <xdr:col>1</xdr:col>
      <xdr:colOff>54292</xdr:colOff>
      <xdr:row>377</xdr:row>
      <xdr:rowOff>136207</xdr:rowOff>
    </xdr:from>
    <xdr:to>
      <xdr:col>8</xdr:col>
      <xdr:colOff>371475</xdr:colOff>
      <xdr:row>399</xdr:row>
      <xdr:rowOff>123825</xdr:rowOff>
    </xdr:to>
    <xdr:graphicFrame macro="">
      <xdr:nvGraphicFramePr>
        <xdr:cNvPr id="14" name="Graphique 13">
          <a:extLst>
            <a:ext uri="{FF2B5EF4-FFF2-40B4-BE49-F238E27FC236}">
              <a16:creationId xmlns:a16="http://schemas.microsoft.com/office/drawing/2014/main" id="{00000000-0008-0000-02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112294</xdr:colOff>
      <xdr:row>0</xdr:row>
      <xdr:rowOff>192504</xdr:rowOff>
    </xdr:from>
    <xdr:to>
      <xdr:col>9</xdr:col>
      <xdr:colOff>39704</xdr:colOff>
      <xdr:row>2</xdr:row>
      <xdr:rowOff>160942</xdr:rowOff>
    </xdr:to>
    <xdr:pic>
      <xdr:nvPicPr>
        <xdr:cNvPr id="5" name="Image 4">
          <a:extLst>
            <a:ext uri="{FF2B5EF4-FFF2-40B4-BE49-F238E27FC236}">
              <a16:creationId xmlns:a16="http://schemas.microsoft.com/office/drawing/2014/main" id="{8F35A7D3-7362-4BCE-B6C1-2BBF3791D0E7}"/>
            </a:ext>
            <a:ext uri="{147F2762-F138-4A5C-976F-8EAC2B608ADB}">
              <a16:predDERef xmlns:a16="http://schemas.microsoft.com/office/drawing/2014/main" pred="{00000000-0008-0000-0100-000008000000}"/>
            </a:ext>
          </a:extLst>
        </xdr:cNvPr>
        <xdr:cNvPicPr>
          <a:picLocks noChangeAspect="1"/>
        </xdr:cNvPicPr>
      </xdr:nvPicPr>
      <xdr:blipFill>
        <a:blip xmlns:r="http://schemas.openxmlformats.org/officeDocument/2006/relationships" r:embed="rId10"/>
        <a:stretch>
          <a:fillRect/>
        </a:stretch>
      </xdr:blipFill>
      <xdr:spPr>
        <a:xfrm>
          <a:off x="7964905" y="192504"/>
          <a:ext cx="769620" cy="407691"/>
        </a:xfrm>
        <a:prstGeom prst="rect">
          <a:avLst/>
        </a:prstGeom>
      </xdr:spPr>
    </xdr:pic>
    <xdr:clientData/>
  </xdr:twoCellAnchor>
  <xdr:twoCellAnchor editAs="oneCell">
    <xdr:from>
      <xdr:col>9</xdr:col>
      <xdr:colOff>118223</xdr:colOff>
      <xdr:row>0</xdr:row>
      <xdr:rowOff>202029</xdr:rowOff>
    </xdr:from>
    <xdr:to>
      <xdr:col>10</xdr:col>
      <xdr:colOff>133596</xdr:colOff>
      <xdr:row>3</xdr:row>
      <xdr:rowOff>51293</xdr:rowOff>
    </xdr:to>
    <xdr:pic>
      <xdr:nvPicPr>
        <xdr:cNvPr id="10" name="Image 9">
          <a:extLst>
            <a:ext uri="{FF2B5EF4-FFF2-40B4-BE49-F238E27FC236}">
              <a16:creationId xmlns:a16="http://schemas.microsoft.com/office/drawing/2014/main" id="{4B90B350-FC84-4234-A7AF-26CAC11F041D}"/>
            </a:ext>
            <a:ext uri="{147F2762-F138-4A5C-976F-8EAC2B608ADB}">
              <a16:predDERef xmlns:a16="http://schemas.microsoft.com/office/drawing/2014/main" pred="{5FDF3647-CC14-42B2-883F-C01D65B7DD09}"/>
            </a:ext>
          </a:extLst>
        </xdr:cNvPr>
        <xdr:cNvPicPr>
          <a:picLocks noChangeAspect="1"/>
        </xdr:cNvPicPr>
      </xdr:nvPicPr>
      <xdr:blipFill>
        <a:blip xmlns:r="http://schemas.openxmlformats.org/officeDocument/2006/relationships" r:embed="rId11"/>
        <a:stretch>
          <a:fillRect/>
        </a:stretch>
      </xdr:blipFill>
      <xdr:spPr>
        <a:xfrm>
          <a:off x="8813044" y="202029"/>
          <a:ext cx="805647" cy="464980"/>
        </a:xfrm>
        <a:prstGeom prst="rect">
          <a:avLst/>
        </a:prstGeom>
      </xdr:spPr>
    </xdr:pic>
    <xdr:clientData/>
  </xdr:twoCellAnchor>
  <xdr:twoCellAnchor editAs="oneCell">
    <xdr:from>
      <xdr:col>10</xdr:col>
      <xdr:colOff>220731</xdr:colOff>
      <xdr:row>0</xdr:row>
      <xdr:rowOff>211554</xdr:rowOff>
    </xdr:from>
    <xdr:to>
      <xdr:col>15</xdr:col>
      <xdr:colOff>568030</xdr:colOff>
      <xdr:row>3</xdr:row>
      <xdr:rowOff>57964</xdr:rowOff>
    </xdr:to>
    <xdr:pic>
      <xdr:nvPicPr>
        <xdr:cNvPr id="15" name="Image 14">
          <a:extLst>
            <a:ext uri="{FF2B5EF4-FFF2-40B4-BE49-F238E27FC236}">
              <a16:creationId xmlns:a16="http://schemas.microsoft.com/office/drawing/2014/main" id="{49066054-AE14-4E80-B645-E08EB00671AA}"/>
            </a:ext>
            <a:ext uri="{147F2762-F138-4A5C-976F-8EAC2B608ADB}">
              <a16:predDERef xmlns:a16="http://schemas.microsoft.com/office/drawing/2014/main" pred="{51A543ED-C7EC-4575-8DB5-60B7186277F9}"/>
            </a:ext>
          </a:extLst>
        </xdr:cNvPr>
        <xdr:cNvPicPr>
          <a:picLocks noChangeAspect="1"/>
        </xdr:cNvPicPr>
      </xdr:nvPicPr>
      <xdr:blipFill>
        <a:blip xmlns:r="http://schemas.openxmlformats.org/officeDocument/2006/relationships" r:embed="rId12"/>
        <a:stretch>
          <a:fillRect/>
        </a:stretch>
      </xdr:blipFill>
      <xdr:spPr>
        <a:xfrm>
          <a:off x="9709636" y="211554"/>
          <a:ext cx="1093257" cy="467841"/>
        </a:xfrm>
        <a:prstGeom prst="rect">
          <a:avLst/>
        </a:prstGeom>
      </xdr:spPr>
    </xdr:pic>
    <xdr:clientData/>
  </xdr:twoCellAnchor>
  <xdr:twoCellAnchor editAs="oneCell">
    <xdr:from>
      <xdr:col>5</xdr:col>
      <xdr:colOff>159141</xdr:colOff>
      <xdr:row>95</xdr:row>
      <xdr:rowOff>293370</xdr:rowOff>
    </xdr:from>
    <xdr:to>
      <xdr:col>9</xdr:col>
      <xdr:colOff>606698</xdr:colOff>
      <xdr:row>113</xdr:row>
      <xdr:rowOff>315222</xdr:rowOff>
    </xdr:to>
    <xdr:pic>
      <xdr:nvPicPr>
        <xdr:cNvPr id="16" name="Image 15">
          <a:extLst>
            <a:ext uri="{FF2B5EF4-FFF2-40B4-BE49-F238E27FC236}">
              <a16:creationId xmlns:a16="http://schemas.microsoft.com/office/drawing/2014/main" id="{9D698363-22FF-07CB-D901-2CB7236DA649}"/>
            </a:ext>
          </a:extLst>
        </xdr:cNvPr>
        <xdr:cNvPicPr>
          <a:picLocks noChangeAspect="1"/>
        </xdr:cNvPicPr>
      </xdr:nvPicPr>
      <xdr:blipFill>
        <a:blip xmlns:r="http://schemas.openxmlformats.org/officeDocument/2006/relationships" r:embed="rId13"/>
        <a:stretch>
          <a:fillRect/>
        </a:stretch>
      </xdr:blipFill>
      <xdr:spPr>
        <a:xfrm>
          <a:off x="5826516" y="11456670"/>
          <a:ext cx="3486032" cy="345085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10</xdr:col>
      <xdr:colOff>150159</xdr:colOff>
      <xdr:row>17</xdr:row>
      <xdr:rowOff>33777</xdr:rowOff>
    </xdr:from>
    <xdr:ext cx="4220159" cy="2592882"/>
    <xdr:pic>
      <xdr:nvPicPr>
        <xdr:cNvPr id="2" name="Imag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99194" y="3314859"/>
          <a:ext cx="4220159" cy="2592882"/>
        </a:xfrm>
        <a:prstGeom prst="rect">
          <a:avLst/>
        </a:prstGeom>
      </xdr:spPr>
    </xdr:pic>
    <xdr:clientData/>
  </xdr:oneCellAnchor>
  <xdr:oneCellAnchor>
    <xdr:from>
      <xdr:col>10</xdr:col>
      <xdr:colOff>537880</xdr:colOff>
      <xdr:row>32</xdr:row>
      <xdr:rowOff>145676</xdr:rowOff>
    </xdr:from>
    <xdr:ext cx="3739547" cy="3083858"/>
    <xdr:pic>
      <xdr:nvPicPr>
        <xdr:cNvPr id="3" name="Imag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386480" y="5997836"/>
          <a:ext cx="3739547" cy="3083858"/>
        </a:xfrm>
        <a:prstGeom prst="rect">
          <a:avLst/>
        </a:prstGeom>
      </xdr:spPr>
    </xdr:pic>
    <xdr:clientData/>
  </xdr:oneCellAnchor>
  <xdr:twoCellAnchor>
    <xdr:from>
      <xdr:col>12</xdr:col>
      <xdr:colOff>451373</xdr:colOff>
      <xdr:row>27</xdr:row>
      <xdr:rowOff>143435</xdr:rowOff>
    </xdr:from>
    <xdr:to>
      <xdr:col>15</xdr:col>
      <xdr:colOff>307378</xdr:colOff>
      <xdr:row>30</xdr:row>
      <xdr:rowOff>15688</xdr:rowOff>
    </xdr:to>
    <xdr:sp macro="" textlink="">
      <xdr:nvSpPr>
        <xdr:cNvPr id="4" name="ZoneTexte 3">
          <a:extLst>
            <a:ext uri="{FF2B5EF4-FFF2-40B4-BE49-F238E27FC236}">
              <a16:creationId xmlns:a16="http://schemas.microsoft.com/office/drawing/2014/main" id="{00000000-0008-0000-0300-000004000000}"/>
            </a:ext>
          </a:extLst>
        </xdr:cNvPr>
        <xdr:cNvSpPr txBox="1"/>
      </xdr:nvSpPr>
      <xdr:spPr>
        <a:xfrm>
          <a:off x="8878197" y="5396753"/>
          <a:ext cx="2222687" cy="4549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t>Schéma 1 : isolation</a:t>
          </a:r>
          <a:r>
            <a:rPr lang="fr-BE" sz="1100" baseline="0"/>
            <a:t> périphérique horizontale</a:t>
          </a:r>
          <a:endParaRPr lang="fr-BE" sz="1100"/>
        </a:p>
      </xdr:txBody>
    </xdr:sp>
    <xdr:clientData/>
  </xdr:twoCellAnchor>
  <xdr:twoCellAnchor>
    <xdr:from>
      <xdr:col>13</xdr:col>
      <xdr:colOff>168088</xdr:colOff>
      <xdr:row>45</xdr:row>
      <xdr:rowOff>89647</xdr:rowOff>
    </xdr:from>
    <xdr:to>
      <xdr:col>16</xdr:col>
      <xdr:colOff>18378</xdr:colOff>
      <xdr:row>47</xdr:row>
      <xdr:rowOff>149486</xdr:rowOff>
    </xdr:to>
    <xdr:sp macro="" textlink="">
      <xdr:nvSpPr>
        <xdr:cNvPr id="5" name="ZoneTexte 4">
          <a:extLst>
            <a:ext uri="{FF2B5EF4-FFF2-40B4-BE49-F238E27FC236}">
              <a16:creationId xmlns:a16="http://schemas.microsoft.com/office/drawing/2014/main" id="{00000000-0008-0000-0300-000005000000}"/>
            </a:ext>
          </a:extLst>
        </xdr:cNvPr>
        <xdr:cNvSpPr txBox="1"/>
      </xdr:nvSpPr>
      <xdr:spPr>
        <a:xfrm>
          <a:off x="9345706" y="8919882"/>
          <a:ext cx="2203525" cy="4632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BE" sz="1100"/>
            <a:t>Schéma 2 : isolation</a:t>
          </a:r>
          <a:r>
            <a:rPr lang="fr-BE" sz="1100" baseline="0"/>
            <a:t> périphérique verticale</a:t>
          </a:r>
          <a:endParaRPr lang="fr-BE"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295275</xdr:colOff>
      <xdr:row>54</xdr:row>
      <xdr:rowOff>142875</xdr:rowOff>
    </xdr:from>
    <xdr:to>
      <xdr:col>16</xdr:col>
      <xdr:colOff>760320</xdr:colOff>
      <xdr:row>87</xdr:row>
      <xdr:rowOff>162800</xdr:rowOff>
    </xdr:to>
    <xdr:pic>
      <xdr:nvPicPr>
        <xdr:cNvPr id="2" name="Image 1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9875" y="8715375"/>
          <a:ext cx="5999070" cy="4134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96610</xdr:colOff>
      <xdr:row>22</xdr:row>
      <xdr:rowOff>85725</xdr:rowOff>
    </xdr:from>
    <xdr:to>
      <xdr:col>26</xdr:col>
      <xdr:colOff>208180</xdr:colOff>
      <xdr:row>44</xdr:row>
      <xdr:rowOff>74865</xdr:rowOff>
    </xdr:to>
    <xdr:pic>
      <xdr:nvPicPr>
        <xdr:cNvPr id="3" name="Imag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a:stretch>
          <a:fillRect/>
        </a:stretch>
      </xdr:blipFill>
      <xdr:spPr>
        <a:xfrm>
          <a:off x="14202681" y="3678011"/>
          <a:ext cx="8103953" cy="4071283"/>
        </a:xfrm>
        <a:prstGeom prst="rect">
          <a:avLst/>
        </a:prstGeom>
      </xdr:spPr>
    </xdr:pic>
    <xdr:clientData/>
  </xdr:twoCellAnchor>
  <xdr:twoCellAnchor editAs="oneCell">
    <xdr:from>
      <xdr:col>27</xdr:col>
      <xdr:colOff>0</xdr:colOff>
      <xdr:row>22</xdr:row>
      <xdr:rowOff>0</xdr:rowOff>
    </xdr:from>
    <xdr:to>
      <xdr:col>37</xdr:col>
      <xdr:colOff>350313</xdr:colOff>
      <xdr:row>80</xdr:row>
      <xdr:rowOff>14635</xdr:rowOff>
    </xdr:to>
    <xdr:pic>
      <xdr:nvPicPr>
        <xdr:cNvPr id="4" name="Image 3">
          <a:extLst>
            <a:ext uri="{FF2B5EF4-FFF2-40B4-BE49-F238E27FC236}">
              <a16:creationId xmlns:a16="http://schemas.microsoft.com/office/drawing/2014/main" id="{33B3EB39-87DF-470B-84C9-F39A2F84C312}"/>
            </a:ext>
          </a:extLst>
        </xdr:cNvPr>
        <xdr:cNvPicPr>
          <a:picLocks noChangeAspect="1"/>
        </xdr:cNvPicPr>
      </xdr:nvPicPr>
      <xdr:blipFill>
        <a:blip xmlns:r="http://schemas.openxmlformats.org/officeDocument/2006/relationships" r:embed="rId3"/>
        <a:stretch>
          <a:fillRect/>
        </a:stretch>
      </xdr:blipFill>
      <xdr:spPr>
        <a:xfrm>
          <a:off x="23279100" y="3688080"/>
          <a:ext cx="8198913" cy="102863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236220</xdr:colOff>
      <xdr:row>2</xdr:row>
      <xdr:rowOff>7620</xdr:rowOff>
    </xdr:from>
    <xdr:to>
      <xdr:col>1</xdr:col>
      <xdr:colOff>190500</xdr:colOff>
      <xdr:row>3</xdr:row>
      <xdr:rowOff>95250</xdr:rowOff>
    </xdr:to>
    <xdr:pic>
      <xdr:nvPicPr>
        <xdr:cNvPr id="2136" name="Picture 1" descr="WARNING">
          <a:extLst>
            <a:ext uri="{FF2B5EF4-FFF2-40B4-BE49-F238E27FC236}">
              <a16:creationId xmlns:a16="http://schemas.microsoft.com/office/drawing/2014/main" id="{00000000-0008-0000-0600-00005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6220" y="342900"/>
          <a:ext cx="28956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144780</xdr:colOff>
      <xdr:row>4</xdr:row>
      <xdr:rowOff>57150</xdr:rowOff>
    </xdr:from>
    <xdr:to>
      <xdr:col>5</xdr:col>
      <xdr:colOff>243924</xdr:colOff>
      <xdr:row>5</xdr:row>
      <xdr:rowOff>117872</xdr:rowOff>
    </xdr:to>
    <xdr:sp macro="[0]!Macro2" textlink="">
      <xdr:nvSpPr>
        <xdr:cNvPr id="2050" name="Text Box 2">
          <a:extLst>
            <a:ext uri="{FF2B5EF4-FFF2-40B4-BE49-F238E27FC236}">
              <a16:creationId xmlns:a16="http://schemas.microsoft.com/office/drawing/2014/main" id="{00000000-0008-0000-0600-000002080000}"/>
            </a:ext>
          </a:extLst>
        </xdr:cNvPr>
        <xdr:cNvSpPr txBox="1">
          <a:spLocks noChangeArrowheads="1"/>
        </xdr:cNvSpPr>
      </xdr:nvSpPr>
      <xdr:spPr bwMode="auto">
        <a:xfrm>
          <a:off x="4867275" y="714375"/>
          <a:ext cx="1657350" cy="238125"/>
        </a:xfrm>
        <a:prstGeom prst="rect">
          <a:avLst/>
        </a:prstGeom>
        <a:solidFill>
          <a:srgbClr val="0000FF"/>
        </a:solidFill>
        <a:ln w="9525">
          <a:solidFill>
            <a:srgbClr val="000000"/>
          </a:solidFill>
          <a:miter lim="800000"/>
          <a:headEnd/>
          <a:tailEnd/>
        </a:ln>
        <a:effectLst>
          <a:outerShdw dist="53882" dir="2700000" algn="ctr" rotWithShape="0">
            <a:srgbClr val="808080">
              <a:alpha val="50000"/>
            </a:srgbClr>
          </a:outerShdw>
        </a:effectLst>
      </xdr:spPr>
      <xdr:txBody>
        <a:bodyPr vertOverflow="clip" wrap="square" lIns="36576" tIns="27432" rIns="36576" bIns="0" anchor="t" upright="1"/>
        <a:lstStyle/>
        <a:p>
          <a:pPr algn="ctr" rtl="0">
            <a:defRPr sz="1000"/>
          </a:pPr>
          <a:r>
            <a:rPr lang="fr-FR" sz="1200" b="1" i="0" u="none" strike="noStrike" baseline="0">
              <a:solidFill>
                <a:srgbClr val="FFFFFF"/>
              </a:solidFill>
              <a:latin typeface="Arial"/>
              <a:cs typeface="Arial"/>
            </a:rPr>
            <a:t>retour</a:t>
          </a:r>
        </a:p>
      </xdr:txBody>
    </xdr:sp>
    <xdr:clientData/>
  </xdr:twoCellAnchor>
  <xdr:twoCellAnchor>
    <xdr:from>
      <xdr:col>2</xdr:col>
      <xdr:colOff>110490</xdr:colOff>
      <xdr:row>58</xdr:row>
      <xdr:rowOff>19050</xdr:rowOff>
    </xdr:from>
    <xdr:to>
      <xdr:col>4</xdr:col>
      <xdr:colOff>45742</xdr:colOff>
      <xdr:row>59</xdr:row>
      <xdr:rowOff>99060</xdr:rowOff>
    </xdr:to>
    <xdr:sp macro="[0]!Macro3" textlink="">
      <xdr:nvSpPr>
        <xdr:cNvPr id="2051" name="Texte 11">
          <a:extLst>
            <a:ext uri="{FF2B5EF4-FFF2-40B4-BE49-F238E27FC236}">
              <a16:creationId xmlns:a16="http://schemas.microsoft.com/office/drawing/2014/main" id="{00000000-0008-0000-0600-000003080000}"/>
            </a:ext>
          </a:extLst>
        </xdr:cNvPr>
        <xdr:cNvSpPr txBox="1">
          <a:spLocks noChangeArrowheads="1"/>
        </xdr:cNvSpPr>
      </xdr:nvSpPr>
      <xdr:spPr bwMode="auto">
        <a:xfrm>
          <a:off x="3619500" y="7962900"/>
          <a:ext cx="1895475" cy="247650"/>
        </a:xfrm>
        <a:prstGeom prst="rect">
          <a:avLst/>
        </a:prstGeom>
        <a:solidFill>
          <a:srgbClr val="FF0000"/>
        </a:solidFill>
        <a:ln w="1">
          <a:noFill/>
          <a:miter lim="800000"/>
          <a:headEnd/>
          <a:tailEnd/>
        </a:ln>
        <a:effectLst>
          <a:outerShdw dist="35921" dir="2700000" algn="ctr" rotWithShape="0">
            <a:srgbClr val="000000"/>
          </a:outerShdw>
        </a:effectLst>
      </xdr:spPr>
      <xdr:txBody>
        <a:bodyPr vertOverflow="clip" wrap="square" lIns="27432" tIns="22860" rIns="27432" bIns="0" anchor="t" upright="1"/>
        <a:lstStyle/>
        <a:p>
          <a:pPr algn="ctr" rtl="0">
            <a:defRPr sz="1000"/>
          </a:pPr>
          <a:r>
            <a:rPr lang="fr-FR" sz="1000" b="1" i="0" u="none" strike="noStrike" baseline="0">
              <a:solidFill>
                <a:srgbClr val="FFFFFF"/>
              </a:solidFill>
              <a:latin typeface="Arial"/>
              <a:cs typeface="Arial"/>
            </a:rPr>
            <a:t>Imprimer</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7" Type="http://schemas.openxmlformats.org/officeDocument/2006/relationships/comments" Target="../comments1.xml"/><Relationship Id="rId2" Type="http://schemas.openxmlformats.org/officeDocument/2006/relationships/hyperlink" Target="https://energieplus-lesite.be/wp-content/uploads/2015/06/U-planch-sol-fr.xlsx" TargetMode="External"/><Relationship Id="rId1" Type="http://schemas.openxmlformats.org/officeDocument/2006/relationships/hyperlink" Target="https://energieplus-lesite.be/wp-content/uploads/2015/06/ConsommationECS-1.zi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energieplus-lesite.be/wp-content/uploads/2015/06/U-planch-sol-fr.xlsx" TargetMode="External"/><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hyperlink" Target="https://energie.wallonie.be/fr/06-06-perimetre-expose.html?IDC_PEB=9491&amp;IDD=113624&amp;IDC=9093" TargetMode="Externa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hyperlink" Target="https://energieplus-lesite.be/wp-content/uploads/2015/06/tpcalcUparoibisV2-1.xlsx" TargetMode="External"/><Relationship Id="rId2" Type="http://schemas.openxmlformats.org/officeDocument/2006/relationships/hyperlink" Target="https://energieplus-lesite.be/wp-content/uploads/2015/06/Calcul_U_fenetre.xls.zip" TargetMode="External"/><Relationship Id="rId1" Type="http://schemas.openxmlformats.org/officeDocument/2006/relationships/hyperlink" Target="https://www.cstc.be/media/z1jfyult/catalogue_valeurs_u.pdf" TargetMode="External"/><Relationship Id="rId4"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5E24A-5EA1-4101-9A64-DFCFF9A54347}">
  <dimension ref="A2:Q240"/>
  <sheetViews>
    <sheetView zoomScale="70" zoomScaleNormal="70" workbookViewId="0">
      <selection activeCell="N2" sqref="N2"/>
    </sheetView>
  </sheetViews>
  <sheetFormatPr baseColWidth="10" defaultColWidth="11.453125" defaultRowHeight="12.5" x14ac:dyDescent="0.25"/>
  <sheetData>
    <row r="2" spans="1:11" ht="37.9" customHeight="1" x14ac:dyDescent="0.35">
      <c r="A2" s="245" t="s">
        <v>0</v>
      </c>
      <c r="B2" s="245"/>
      <c r="C2" s="245"/>
      <c r="D2" s="245"/>
      <c r="E2" s="245"/>
      <c r="F2" s="245"/>
      <c r="G2" s="245"/>
      <c r="H2" s="245"/>
      <c r="I2" s="245"/>
      <c r="J2" s="245"/>
      <c r="K2" s="245"/>
    </row>
    <row r="20" spans="1:3" x14ac:dyDescent="0.25">
      <c r="A20" s="37" t="s">
        <v>1</v>
      </c>
    </row>
    <row r="22" spans="1:3" x14ac:dyDescent="0.25">
      <c r="A22" s="10"/>
    </row>
    <row r="23" spans="1:3" x14ac:dyDescent="0.25">
      <c r="A23" s="10"/>
    </row>
    <row r="26" spans="1:3" ht="22.5" x14ac:dyDescent="0.45">
      <c r="C26" s="149"/>
    </row>
    <row r="28" spans="1:3" x14ac:dyDescent="0.25">
      <c r="C28" s="10"/>
    </row>
    <row r="29" spans="1:3" x14ac:dyDescent="0.25">
      <c r="C29" s="10"/>
    </row>
    <row r="30" spans="1:3" x14ac:dyDescent="0.25">
      <c r="C30" s="10"/>
    </row>
    <row r="32" spans="1:3" ht="15.5" x14ac:dyDescent="0.35">
      <c r="C32" s="24"/>
    </row>
    <row r="33" spans="3:3" x14ac:dyDescent="0.25">
      <c r="C33" s="10"/>
    </row>
    <row r="34" spans="3:3" x14ac:dyDescent="0.25">
      <c r="C34" s="10"/>
    </row>
    <row r="35" spans="3:3" x14ac:dyDescent="0.25">
      <c r="C35" s="10"/>
    </row>
    <row r="36" spans="3:3" x14ac:dyDescent="0.25">
      <c r="C36" s="10"/>
    </row>
    <row r="37" spans="3:3" x14ac:dyDescent="0.25">
      <c r="C37" s="37"/>
    </row>
    <row r="38" spans="3:3" x14ac:dyDescent="0.25">
      <c r="C38" s="37"/>
    </row>
    <row r="39" spans="3:3" x14ac:dyDescent="0.25">
      <c r="C39" s="10"/>
    </row>
    <row r="41" spans="3:3" ht="15.5" x14ac:dyDescent="0.35">
      <c r="C41" s="24"/>
    </row>
    <row r="42" spans="3:3" x14ac:dyDescent="0.25">
      <c r="C42" s="10"/>
    </row>
    <row r="43" spans="3:3" x14ac:dyDescent="0.25">
      <c r="C43" s="10"/>
    </row>
    <row r="45" spans="3:3" ht="13" x14ac:dyDescent="0.3">
      <c r="C45" s="27"/>
    </row>
    <row r="46" spans="3:3" x14ac:dyDescent="0.25">
      <c r="C46" s="10"/>
    </row>
    <row r="47" spans="3:3" x14ac:dyDescent="0.25">
      <c r="C47" s="10"/>
    </row>
    <row r="48" spans="3:3" x14ac:dyDescent="0.25">
      <c r="C48" s="10"/>
    </row>
    <row r="49" spans="3:17" x14ac:dyDescent="0.25">
      <c r="C49" s="150"/>
    </row>
    <row r="51" spans="3:17" ht="13.5" thickBot="1" x14ac:dyDescent="0.35">
      <c r="C51" s="27"/>
    </row>
    <row r="52" spans="3:17" x14ac:dyDescent="0.25">
      <c r="C52" s="10"/>
      <c r="M52" s="146" t="s">
        <v>2</v>
      </c>
      <c r="N52" s="114"/>
      <c r="O52" s="114"/>
      <c r="P52" s="114"/>
      <c r="Q52" s="115"/>
    </row>
    <row r="53" spans="3:17" x14ac:dyDescent="0.25">
      <c r="C53" s="10"/>
      <c r="M53" s="147" t="s">
        <v>3</v>
      </c>
      <c r="N53" s="116"/>
      <c r="O53" s="116"/>
      <c r="P53" s="116"/>
      <c r="Q53" s="117"/>
    </row>
    <row r="54" spans="3:17" x14ac:dyDescent="0.25">
      <c r="C54" s="150"/>
      <c r="M54" s="147" t="s">
        <v>4</v>
      </c>
      <c r="N54" s="116"/>
      <c r="O54" s="116"/>
      <c r="P54" s="116"/>
      <c r="Q54" s="117"/>
    </row>
    <row r="55" spans="3:17" x14ac:dyDescent="0.25">
      <c r="C55" s="10"/>
      <c r="M55" s="147" t="s">
        <v>5</v>
      </c>
      <c r="N55" s="116"/>
      <c r="O55" s="116"/>
      <c r="P55" s="116"/>
      <c r="Q55" s="117"/>
    </row>
    <row r="56" spans="3:17" ht="13" thickBot="1" x14ac:dyDescent="0.3">
      <c r="C56" s="10"/>
      <c r="M56" s="118" t="s">
        <v>6</v>
      </c>
      <c r="N56" s="118"/>
      <c r="O56" s="118"/>
      <c r="P56" s="118"/>
      <c r="Q56" s="119"/>
    </row>
    <row r="61" spans="3:17" x14ac:dyDescent="0.25">
      <c r="C61" s="10"/>
    </row>
    <row r="62" spans="3:17" x14ac:dyDescent="0.25">
      <c r="C62" s="10"/>
    </row>
    <row r="63" spans="3:17" x14ac:dyDescent="0.25">
      <c r="C63" s="10"/>
    </row>
    <row r="64" spans="3:17" x14ac:dyDescent="0.25">
      <c r="C64" s="10"/>
    </row>
    <row r="65" spans="3:17" x14ac:dyDescent="0.25">
      <c r="C65" s="10"/>
    </row>
    <row r="66" spans="3:17" ht="13" thickBot="1" x14ac:dyDescent="0.3">
      <c r="C66" s="150"/>
    </row>
    <row r="67" spans="3:17" ht="13" x14ac:dyDescent="0.3">
      <c r="C67" s="151"/>
      <c r="M67" s="146" t="s">
        <v>7</v>
      </c>
      <c r="N67" s="114"/>
      <c r="O67" s="114"/>
      <c r="P67" s="114"/>
      <c r="Q67" s="115"/>
    </row>
    <row r="68" spans="3:17" x14ac:dyDescent="0.25">
      <c r="C68" s="10"/>
      <c r="M68" s="147" t="s">
        <v>8</v>
      </c>
      <c r="N68" s="116"/>
      <c r="O68" s="116"/>
      <c r="P68" s="116"/>
      <c r="Q68" s="117"/>
    </row>
    <row r="69" spans="3:17" ht="13.5" thickBot="1" x14ac:dyDescent="0.35">
      <c r="C69" s="10"/>
      <c r="M69" s="148" t="s">
        <v>9</v>
      </c>
      <c r="N69" s="118"/>
      <c r="O69" s="118"/>
      <c r="P69" s="118"/>
      <c r="Q69" s="119"/>
    </row>
    <row r="70" spans="3:17" x14ac:dyDescent="0.25">
      <c r="C70" s="10"/>
    </row>
    <row r="71" spans="3:17" x14ac:dyDescent="0.25">
      <c r="C71" s="10"/>
    </row>
    <row r="72" spans="3:17" x14ac:dyDescent="0.25">
      <c r="C72" s="10"/>
    </row>
    <row r="73" spans="3:17" ht="13" x14ac:dyDescent="0.3">
      <c r="C73" s="151"/>
    </row>
    <row r="74" spans="3:17" ht="13" x14ac:dyDescent="0.3">
      <c r="C74" s="151"/>
    </row>
    <row r="75" spans="3:17" ht="13" x14ac:dyDescent="0.3">
      <c r="C75" s="151"/>
    </row>
    <row r="76" spans="3:17" ht="13" x14ac:dyDescent="0.3">
      <c r="C76" s="151"/>
    </row>
    <row r="77" spans="3:17" ht="13" x14ac:dyDescent="0.3">
      <c r="C77" s="151"/>
    </row>
    <row r="78" spans="3:17" ht="13" x14ac:dyDescent="0.3">
      <c r="C78" s="151"/>
    </row>
    <row r="79" spans="3:17" ht="13" x14ac:dyDescent="0.3">
      <c r="C79" s="151"/>
    </row>
    <row r="81" spans="3:13" x14ac:dyDescent="0.25">
      <c r="C81" s="10"/>
    </row>
    <row r="82" spans="3:13" x14ac:dyDescent="0.25">
      <c r="C82" s="10"/>
    </row>
    <row r="83" spans="3:13" ht="13" x14ac:dyDescent="0.3">
      <c r="C83" s="151"/>
    </row>
    <row r="84" spans="3:13" ht="13" x14ac:dyDescent="0.3">
      <c r="C84" s="151"/>
    </row>
    <row r="86" spans="3:13" ht="13" x14ac:dyDescent="0.3">
      <c r="C86" s="27"/>
    </row>
    <row r="87" spans="3:13" x14ac:dyDescent="0.25">
      <c r="C87" s="10"/>
    </row>
    <row r="88" spans="3:13" ht="13" x14ac:dyDescent="0.3">
      <c r="C88" s="151"/>
    </row>
    <row r="89" spans="3:13" ht="13" x14ac:dyDescent="0.3">
      <c r="C89" s="151"/>
      <c r="M89" s="10" t="s">
        <v>10</v>
      </c>
    </row>
    <row r="90" spans="3:13" x14ac:dyDescent="0.25">
      <c r="C90" s="10"/>
    </row>
    <row r="91" spans="3:13" ht="13" x14ac:dyDescent="0.3">
      <c r="C91" s="151"/>
    </row>
    <row r="92" spans="3:13" x14ac:dyDescent="0.25">
      <c r="C92" s="10"/>
    </row>
    <row r="93" spans="3:13" x14ac:dyDescent="0.25">
      <c r="C93" s="10"/>
    </row>
    <row r="94" spans="3:13" x14ac:dyDescent="0.25">
      <c r="C94" s="10"/>
    </row>
    <row r="95" spans="3:13" x14ac:dyDescent="0.25">
      <c r="C95" s="10"/>
    </row>
    <row r="96" spans="3:13" x14ac:dyDescent="0.25">
      <c r="C96" s="10"/>
    </row>
    <row r="97" spans="3:3" ht="13" x14ac:dyDescent="0.3">
      <c r="C97" s="151"/>
    </row>
    <row r="98" spans="3:3" x14ac:dyDescent="0.25">
      <c r="C98" s="10"/>
    </row>
    <row r="100" spans="3:3" ht="13" x14ac:dyDescent="0.3">
      <c r="C100" s="27"/>
    </row>
    <row r="101" spans="3:3" x14ac:dyDescent="0.25">
      <c r="C101" s="10"/>
    </row>
    <row r="102" spans="3:3" x14ac:dyDescent="0.25">
      <c r="C102" s="10"/>
    </row>
    <row r="103" spans="3:3" x14ac:dyDescent="0.25">
      <c r="C103" s="10"/>
    </row>
    <row r="104" spans="3:3" x14ac:dyDescent="0.25">
      <c r="C104" s="10"/>
    </row>
    <row r="105" spans="3:3" x14ac:dyDescent="0.25">
      <c r="C105" s="10"/>
    </row>
    <row r="106" spans="3:3" x14ac:dyDescent="0.25">
      <c r="C106" s="10"/>
    </row>
    <row r="107" spans="3:3" x14ac:dyDescent="0.25">
      <c r="C107" s="10"/>
    </row>
    <row r="109" spans="3:3" ht="15.5" x14ac:dyDescent="0.35">
      <c r="C109" s="24"/>
    </row>
    <row r="110" spans="3:3" x14ac:dyDescent="0.25">
      <c r="C110" s="10"/>
    </row>
    <row r="111" spans="3:3" x14ac:dyDescent="0.25">
      <c r="C111" s="10"/>
    </row>
    <row r="112" spans="3:3" x14ac:dyDescent="0.25">
      <c r="C112" s="10"/>
    </row>
    <row r="114" spans="3:13" ht="13" x14ac:dyDescent="0.3">
      <c r="C114" s="27"/>
    </row>
    <row r="115" spans="3:13" x14ac:dyDescent="0.25">
      <c r="M115" s="10" t="s">
        <v>11</v>
      </c>
    </row>
    <row r="116" spans="3:13" ht="13" x14ac:dyDescent="0.3">
      <c r="C116" s="27"/>
    </row>
    <row r="117" spans="3:13" x14ac:dyDescent="0.25">
      <c r="C117" s="10"/>
    </row>
    <row r="118" spans="3:13" x14ac:dyDescent="0.25">
      <c r="C118" s="10"/>
    </row>
    <row r="119" spans="3:13" x14ac:dyDescent="0.25">
      <c r="C119" s="10"/>
    </row>
    <row r="170" spans="1:1" ht="15.5" x14ac:dyDescent="0.35">
      <c r="A170" s="24" t="s">
        <v>12</v>
      </c>
    </row>
    <row r="194" spans="1:1" x14ac:dyDescent="0.25">
      <c r="A194" s="10" t="s">
        <v>13</v>
      </c>
    </row>
    <row r="216" spans="1:1" x14ac:dyDescent="0.25">
      <c r="A216" t="s">
        <v>14</v>
      </c>
    </row>
    <row r="240" spans="1:1" x14ac:dyDescent="0.25">
      <c r="A240" t="s">
        <v>15</v>
      </c>
    </row>
  </sheetData>
  <mergeCells count="1">
    <mergeCell ref="A2:K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rgb="FFFF0000"/>
    <pageSetUpPr fitToPage="1"/>
  </sheetPr>
  <dimension ref="A1:AQ291"/>
  <sheetViews>
    <sheetView showGridLines="0" topLeftCell="B136" zoomScaleNormal="100" workbookViewId="0">
      <selection activeCell="F220" sqref="F220"/>
    </sheetView>
  </sheetViews>
  <sheetFormatPr baseColWidth="10" defaultColWidth="11.453125" defaultRowHeight="12.5" outlineLevelRow="1" x14ac:dyDescent="0.25"/>
  <cols>
    <col min="1" max="1" width="0.81640625" customWidth="1"/>
    <col min="2" max="2" width="3" customWidth="1"/>
    <col min="3" max="3" width="40.1796875" customWidth="1"/>
    <col min="4" max="4" width="28.81640625" customWidth="1"/>
    <col min="5" max="5" width="11" customWidth="1"/>
    <col min="6" max="6" width="12.453125" customWidth="1"/>
    <col min="7" max="7" width="12.26953125" customWidth="1"/>
    <col min="8" max="8" width="14.1796875" customWidth="1"/>
    <col min="9" max="9" width="10.81640625" customWidth="1"/>
    <col min="10" max="10" width="10.7265625" customWidth="1"/>
    <col min="11" max="11" width="11.453125" customWidth="1"/>
    <col min="12" max="12" width="14.453125" customWidth="1"/>
    <col min="13" max="13" width="25" customWidth="1"/>
  </cols>
  <sheetData>
    <row r="1" spans="1:38" ht="39.75" customHeight="1" x14ac:dyDescent="0.4">
      <c r="C1" s="95" t="s">
        <v>16</v>
      </c>
      <c r="D1" s="19"/>
    </row>
    <row r="2" spans="1:38" ht="13.5" x14ac:dyDescent="0.35">
      <c r="C2" s="23"/>
      <c r="D2" s="20" t="s">
        <v>17</v>
      </c>
      <c r="E2" s="4"/>
      <c r="F2" s="5"/>
      <c r="G2" s="6"/>
    </row>
    <row r="3" spans="1:38" ht="13.5" x14ac:dyDescent="0.35">
      <c r="C3" s="22"/>
      <c r="D3" s="21" t="s">
        <v>18</v>
      </c>
      <c r="E3" s="1"/>
      <c r="F3" s="2"/>
      <c r="G3" s="3"/>
    </row>
    <row r="4" spans="1:38" x14ac:dyDescent="0.25">
      <c r="F4" s="79"/>
    </row>
    <row r="5" spans="1:38" x14ac:dyDescent="0.25">
      <c r="F5" s="79"/>
    </row>
    <row r="6" spans="1:38" ht="15.5" x14ac:dyDescent="0.35">
      <c r="B6" s="24" t="s">
        <v>3395</v>
      </c>
      <c r="C6" s="24" t="s">
        <v>3394</v>
      </c>
      <c r="F6" s="79"/>
    </row>
    <row r="7" spans="1:38" ht="15.5" x14ac:dyDescent="0.35">
      <c r="B7" s="24"/>
      <c r="C7" t="s">
        <v>3396</v>
      </c>
      <c r="D7" s="152" t="s">
        <v>3398</v>
      </c>
      <c r="F7" s="79"/>
    </row>
    <row r="8" spans="1:38" ht="15.5" x14ac:dyDescent="0.35">
      <c r="B8" s="24"/>
      <c r="C8" t="s">
        <v>3397</v>
      </c>
      <c r="D8" s="220">
        <v>5000</v>
      </c>
      <c r="F8" s="79"/>
    </row>
    <row r="9" spans="1:38" ht="15.5" x14ac:dyDescent="0.35">
      <c r="B9" s="24"/>
      <c r="C9" t="s">
        <v>3399</v>
      </c>
      <c r="D9" s="16" t="s">
        <v>184</v>
      </c>
      <c r="F9" s="79"/>
    </row>
    <row r="10" spans="1:38" x14ac:dyDescent="0.25">
      <c r="F10" s="79"/>
    </row>
    <row r="11" spans="1:38" ht="18" customHeight="1" x14ac:dyDescent="0.35">
      <c r="A11" s="10"/>
      <c r="B11" s="24" t="s">
        <v>19</v>
      </c>
      <c r="C11" s="24" t="s">
        <v>20</v>
      </c>
      <c r="D11" s="32"/>
      <c r="E11" s="26"/>
      <c r="F11" s="26"/>
      <c r="G11" s="10"/>
      <c r="I11" s="26"/>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row>
    <row r="12" spans="1:38" ht="18" customHeight="1" x14ac:dyDescent="0.35">
      <c r="A12" s="10"/>
      <c r="B12" s="24"/>
      <c r="C12" s="24"/>
      <c r="D12" s="32"/>
      <c r="E12" s="26"/>
      <c r="F12" s="26"/>
      <c r="G12" s="10"/>
      <c r="I12" s="26"/>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row>
    <row r="13" spans="1:38" ht="18" customHeight="1" x14ac:dyDescent="0.35">
      <c r="A13" s="10"/>
      <c r="B13" s="24"/>
      <c r="C13" t="s">
        <v>21</v>
      </c>
      <c r="D13" s="152"/>
      <c r="E13" s="88" t="s">
        <v>22</v>
      </c>
      <c r="F13" s="26"/>
      <c r="G13" s="10"/>
      <c r="I13" s="26"/>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row>
    <row r="14" spans="1:38" ht="18" customHeight="1" x14ac:dyDescent="0.35">
      <c r="A14" s="10"/>
      <c r="B14" s="24"/>
      <c r="C14" t="s">
        <v>23</v>
      </c>
      <c r="D14" s="152"/>
      <c r="E14" s="88" t="s">
        <v>22</v>
      </c>
      <c r="F14" s="26"/>
      <c r="G14" s="10"/>
      <c r="I14" s="26"/>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row>
    <row r="15" spans="1:38" ht="18" customHeight="1" x14ac:dyDescent="0.35">
      <c r="A15" s="10"/>
      <c r="B15" s="24"/>
      <c r="C15" t="s">
        <v>24</v>
      </c>
      <c r="D15" s="152">
        <v>0</v>
      </c>
      <c r="E15" s="88" t="s">
        <v>22</v>
      </c>
      <c r="F15" s="26"/>
      <c r="G15" s="10"/>
      <c r="I15" s="26"/>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row>
    <row r="16" spans="1:38" ht="15.5" x14ac:dyDescent="0.35">
      <c r="A16" s="10"/>
      <c r="B16" s="24"/>
      <c r="C16" s="177" t="s">
        <v>25</v>
      </c>
      <c r="D16" s="120">
        <f>D15+D14</f>
        <v>0</v>
      </c>
      <c r="E16" s="88" t="s">
        <v>22</v>
      </c>
      <c r="F16" s="26"/>
      <c r="G16" s="10"/>
      <c r="I16" s="26"/>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row>
    <row r="17" spans="1:38" ht="15.5" x14ac:dyDescent="0.35">
      <c r="A17" s="10"/>
      <c r="B17" s="24"/>
      <c r="C17" s="10" t="s">
        <v>26</v>
      </c>
      <c r="D17" s="180"/>
      <c r="E17" s="88" t="s">
        <v>27</v>
      </c>
      <c r="F17" s="26"/>
      <c r="G17" s="10"/>
      <c r="I17" s="26"/>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row>
    <row r="18" spans="1:38" x14ac:dyDescent="0.25">
      <c r="F18" s="79"/>
    </row>
    <row r="19" spans="1:38" x14ac:dyDescent="0.25">
      <c r="C19" t="s">
        <v>28</v>
      </c>
      <c r="F19" s="79"/>
    </row>
    <row r="20" spans="1:38" x14ac:dyDescent="0.25">
      <c r="C20" t="s">
        <v>29</v>
      </c>
      <c r="D20" s="152"/>
      <c r="E20" s="111" t="str">
        <f>Données!F41</f>
        <v>kWh PCS</v>
      </c>
      <c r="F20" s="79"/>
    </row>
    <row r="21" spans="1:38" x14ac:dyDescent="0.25">
      <c r="C21" t="s">
        <v>29</v>
      </c>
      <c r="D21" s="120">
        <f>D20*Données!K41</f>
        <v>0</v>
      </c>
      <c r="E21" t="s">
        <v>22</v>
      </c>
    </row>
    <row r="22" spans="1:38" x14ac:dyDescent="0.25">
      <c r="C22" t="s">
        <v>30</v>
      </c>
      <c r="D22" s="152">
        <v>0</v>
      </c>
      <c r="E22" t="s">
        <v>22</v>
      </c>
      <c r="F22" s="98" t="s">
        <v>31</v>
      </c>
    </row>
    <row r="23" spans="1:38" x14ac:dyDescent="0.25">
      <c r="C23" t="s">
        <v>32</v>
      </c>
      <c r="D23" s="120">
        <f>D21-D22</f>
        <v>0</v>
      </c>
      <c r="E23" s="10" t="str">
        <f>IF(OR(Données!B41=4,Données!B41=5),"kWh","kWh PCI")</f>
        <v>kWh PCI</v>
      </c>
    </row>
    <row r="24" spans="1:38" x14ac:dyDescent="0.25">
      <c r="C24" t="s">
        <v>33</v>
      </c>
      <c r="D24" s="120">
        <f>D23*Données!P41</f>
        <v>0</v>
      </c>
      <c r="E24" s="10" t="s">
        <v>34</v>
      </c>
      <c r="F24" s="79"/>
    </row>
    <row r="25" spans="1:38" x14ac:dyDescent="0.25">
      <c r="C25" t="s">
        <v>35</v>
      </c>
      <c r="D25" s="215"/>
      <c r="E25" s="88" t="str">
        <f>Données!G41</f>
        <v>€ htva/kWh PCS</v>
      </c>
      <c r="F25" s="79"/>
    </row>
    <row r="26" spans="1:38" x14ac:dyDescent="0.25">
      <c r="C26" t="s">
        <v>35</v>
      </c>
      <c r="D26" s="121">
        <f>D25/Données!M41</f>
        <v>0</v>
      </c>
      <c r="E26" s="10" t="str">
        <f>IF(OR(Données!B41=5,Données!B41=6),"€/kWh","€/kWh PCI")</f>
        <v>€/kWh PCI</v>
      </c>
      <c r="F26" s="79"/>
    </row>
    <row r="27" spans="1:38" ht="13.5" x14ac:dyDescent="0.35">
      <c r="C27" s="10"/>
      <c r="D27" s="29"/>
      <c r="F27" s="9"/>
    </row>
    <row r="28" spans="1:38" x14ac:dyDescent="0.25">
      <c r="C28" s="10" t="s">
        <v>36</v>
      </c>
      <c r="D28" s="122" t="e">
        <f>D244</f>
        <v>#DIV/0!</v>
      </c>
      <c r="E28" t="s">
        <v>37</v>
      </c>
      <c r="F28" s="9"/>
    </row>
    <row r="29" spans="1:38" x14ac:dyDescent="0.25">
      <c r="C29" s="10" t="s">
        <v>38</v>
      </c>
      <c r="D29" s="121" t="str">
        <f>IF(D23&gt;0,D244/D23,"pas de consommation réelle encodée")</f>
        <v>pas de consommation réelle encodée</v>
      </c>
      <c r="F29" s="9"/>
    </row>
    <row r="30" spans="1:38" x14ac:dyDescent="0.25">
      <c r="C30" s="10" t="s">
        <v>39</v>
      </c>
      <c r="D30" s="182" t="e">
        <f>(1000/((D124+0.34*D142*D175)*D136*24))*(D23*D219+D238)+D135</f>
        <v>#DIV/0!</v>
      </c>
      <c r="E30" t="s">
        <v>40</v>
      </c>
      <c r="F30" s="87" t="s">
        <v>41</v>
      </c>
    </row>
    <row r="31" spans="1:38" ht="13.5" x14ac:dyDescent="0.35">
      <c r="C31" s="28"/>
      <c r="D31" s="29"/>
      <c r="F31" s="9"/>
    </row>
    <row r="32" spans="1:38" ht="13.5" x14ac:dyDescent="0.35">
      <c r="C32" s="10" t="s">
        <v>42</v>
      </c>
      <c r="D32" s="29"/>
      <c r="F32" s="9"/>
    </row>
    <row r="33" spans="1:43" ht="13.5" x14ac:dyDescent="0.35">
      <c r="C33" s="10"/>
      <c r="D33" s="29"/>
      <c r="F33" s="9"/>
    </row>
    <row r="34" spans="1:43" ht="18" customHeight="1" x14ac:dyDescent="0.35">
      <c r="A34" s="10"/>
      <c r="B34" s="24" t="s">
        <v>43</v>
      </c>
      <c r="C34" s="24" t="s">
        <v>44</v>
      </c>
      <c r="D34" s="32"/>
      <c r="E34" s="26"/>
      <c r="F34" s="26"/>
      <c r="G34" s="10"/>
      <c r="H34" s="97"/>
      <c r="I34" s="26"/>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row>
    <row r="35" spans="1:43" ht="17.25" customHeight="1" x14ac:dyDescent="0.25">
      <c r="A35" s="10"/>
      <c r="B35" s="10"/>
      <c r="C35" s="32"/>
      <c r="D35" s="32"/>
      <c r="E35" s="32"/>
      <c r="F35" s="99"/>
      <c r="G35" s="32"/>
      <c r="H35" s="32"/>
      <c r="I35" s="32"/>
      <c r="J35" s="32"/>
      <c r="K35" s="10"/>
      <c r="L35" s="10"/>
      <c r="M35" s="10"/>
      <c r="N35" s="221" t="s">
        <v>45</v>
      </c>
      <c r="O35" s="221"/>
      <c r="P35" s="221"/>
      <c r="Q35" s="10"/>
      <c r="R35" s="10"/>
      <c r="S35" s="10"/>
      <c r="T35" s="10"/>
      <c r="U35" s="10"/>
      <c r="V35" s="10"/>
      <c r="W35" s="10"/>
      <c r="X35" s="10"/>
      <c r="Y35" s="10"/>
      <c r="Z35" s="10"/>
      <c r="AA35" s="10"/>
      <c r="AB35" s="10"/>
      <c r="AC35" s="10"/>
      <c r="AD35" s="10"/>
      <c r="AE35" s="10"/>
      <c r="AF35" s="10"/>
      <c r="AG35" s="10"/>
      <c r="AH35" s="10"/>
      <c r="AI35" s="10"/>
      <c r="AJ35" s="10"/>
      <c r="AK35" s="10"/>
      <c r="AL35" s="10"/>
    </row>
    <row r="36" spans="1:43" s="12" customFormat="1" ht="27" customHeight="1" x14ac:dyDescent="0.25">
      <c r="A36" s="58"/>
      <c r="B36" s="80"/>
      <c r="C36" s="80"/>
      <c r="D36" s="123" t="s">
        <v>46</v>
      </c>
      <c r="E36" s="35" t="s">
        <v>47</v>
      </c>
      <c r="F36" s="35" t="s">
        <v>48</v>
      </c>
      <c r="G36" s="35" t="s">
        <v>49</v>
      </c>
      <c r="H36" s="35" t="s">
        <v>50</v>
      </c>
      <c r="I36" s="35" t="s">
        <v>51</v>
      </c>
      <c r="J36" s="35" t="s">
        <v>52</v>
      </c>
      <c r="K36" s="13" t="s">
        <v>53</v>
      </c>
      <c r="L36" s="13"/>
      <c r="M36" s="35" t="s">
        <v>54</v>
      </c>
      <c r="N36" s="13" t="s">
        <v>55</v>
      </c>
      <c r="O36" s="12" t="s">
        <v>56</v>
      </c>
      <c r="P36" s="58" t="s">
        <v>57</v>
      </c>
      <c r="Q36" s="58" t="s">
        <v>58</v>
      </c>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row>
    <row r="37" spans="1:43" ht="12" customHeight="1" x14ac:dyDescent="0.25">
      <c r="A37" s="10"/>
      <c r="B37" s="238" t="s">
        <v>59</v>
      </c>
      <c r="C37" s="81" t="s">
        <v>60</v>
      </c>
      <c r="D37" s="57" t="s">
        <v>61</v>
      </c>
      <c r="E37" s="17"/>
      <c r="F37" s="17"/>
      <c r="G37" s="17"/>
      <c r="H37" s="54"/>
      <c r="I37" s="17"/>
      <c r="J37" s="18">
        <f t="shared" ref="J37:J79" si="0">E37*F37</f>
        <v>0</v>
      </c>
      <c r="K37" s="236">
        <f>SUM(J37:J76)</f>
        <v>0</v>
      </c>
      <c r="L37" s="227">
        <f>SUM(F37:F76)</f>
        <v>0</v>
      </c>
      <c r="M37" s="237">
        <v>1</v>
      </c>
      <c r="N37" s="236">
        <f>+M37*K37</f>
        <v>0</v>
      </c>
      <c r="O37" s="113">
        <f t="shared" ref="O37:O76" si="1">(1-H37)*reduc_vitre</f>
        <v>0.56524999999999992</v>
      </c>
      <c r="P37" s="124">
        <f>IFERROR(VLOOKUP(I37,Données!$A$3:$B$10,2,0),0)</f>
        <v>0</v>
      </c>
      <c r="Q37" s="124">
        <f t="shared" ref="Q37:Q76" si="2">P37*O37*G37*F37</f>
        <v>0</v>
      </c>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 customHeight="1" x14ac:dyDescent="0.25">
      <c r="A38" s="10"/>
      <c r="B38" s="238"/>
      <c r="C38" s="81"/>
      <c r="D38" s="57" t="s">
        <v>63</v>
      </c>
      <c r="E38" s="17"/>
      <c r="F38" s="17"/>
      <c r="G38" s="17"/>
      <c r="H38" s="54"/>
      <c r="I38" s="17"/>
      <c r="J38" s="18">
        <f t="shared" si="0"/>
        <v>0</v>
      </c>
      <c r="K38" s="236"/>
      <c r="L38" s="239"/>
      <c r="M38" s="237"/>
      <c r="N38" s="236"/>
      <c r="O38" s="113">
        <f t="shared" si="1"/>
        <v>0.56524999999999992</v>
      </c>
      <c r="P38" s="124">
        <f>IFERROR(VLOOKUP(I38,Données!$A$3:$B$10,2,0),0)</f>
        <v>0</v>
      </c>
      <c r="Q38" s="124">
        <f t="shared" si="2"/>
        <v>0</v>
      </c>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 customHeight="1" x14ac:dyDescent="0.25">
      <c r="A39" s="10"/>
      <c r="B39" s="238"/>
      <c r="C39" s="81"/>
      <c r="D39" s="57" t="s">
        <v>64</v>
      </c>
      <c r="E39" s="17"/>
      <c r="F39" s="17"/>
      <c r="G39" s="17"/>
      <c r="H39" s="54"/>
      <c r="I39" s="17"/>
      <c r="J39" s="18">
        <f t="shared" si="0"/>
        <v>0</v>
      </c>
      <c r="K39" s="236"/>
      <c r="L39" s="239"/>
      <c r="M39" s="237"/>
      <c r="N39" s="236"/>
      <c r="O39" s="113">
        <f t="shared" si="1"/>
        <v>0.56524999999999992</v>
      </c>
      <c r="P39" s="124">
        <f>IFERROR(VLOOKUP(I39,Données!$A$3:$B$10,2,0),0)</f>
        <v>0</v>
      </c>
      <c r="Q39" s="124">
        <f t="shared" si="2"/>
        <v>0</v>
      </c>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 customHeight="1" x14ac:dyDescent="0.25">
      <c r="A40" s="10"/>
      <c r="B40" s="238"/>
      <c r="C40" s="81"/>
      <c r="D40" s="57" t="s">
        <v>65</v>
      </c>
      <c r="E40" s="17"/>
      <c r="F40" s="17"/>
      <c r="G40" s="17"/>
      <c r="H40" s="54"/>
      <c r="I40" s="17"/>
      <c r="J40" s="18">
        <f t="shared" si="0"/>
        <v>0</v>
      </c>
      <c r="K40" s="236"/>
      <c r="L40" s="239"/>
      <c r="M40" s="237"/>
      <c r="N40" s="236"/>
      <c r="O40" s="113">
        <f t="shared" si="1"/>
        <v>0.56524999999999992</v>
      </c>
      <c r="P40" s="124">
        <f>IFERROR(VLOOKUP(I40,Données!$A$3:$B$10,2,0),0)</f>
        <v>0</v>
      </c>
      <c r="Q40" s="124">
        <f t="shared" si="2"/>
        <v>0</v>
      </c>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 customHeight="1" x14ac:dyDescent="0.25">
      <c r="A41" s="10"/>
      <c r="B41" s="238"/>
      <c r="C41" s="81"/>
      <c r="D41" s="57" t="s">
        <v>66</v>
      </c>
      <c r="E41" s="17"/>
      <c r="F41" s="17"/>
      <c r="G41" s="17"/>
      <c r="H41" s="54"/>
      <c r="I41" s="17"/>
      <c r="J41" s="18">
        <f t="shared" si="0"/>
        <v>0</v>
      </c>
      <c r="K41" s="236"/>
      <c r="L41" s="239"/>
      <c r="M41" s="237"/>
      <c r="N41" s="236"/>
      <c r="O41" s="113">
        <f t="shared" si="1"/>
        <v>0.56524999999999992</v>
      </c>
      <c r="P41" s="124">
        <f>IFERROR(VLOOKUP(I41,Données!$A$3:$B$10,2,0),0)</f>
        <v>0</v>
      </c>
      <c r="Q41" s="124">
        <f t="shared" si="2"/>
        <v>0</v>
      </c>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 customHeight="1" x14ac:dyDescent="0.25">
      <c r="A42" s="10"/>
      <c r="B42" s="238"/>
      <c r="C42" s="81"/>
      <c r="D42" s="57" t="s">
        <v>67</v>
      </c>
      <c r="E42" s="17"/>
      <c r="F42" s="17"/>
      <c r="G42" s="17"/>
      <c r="H42" s="54"/>
      <c r="I42" s="17"/>
      <c r="J42" s="18">
        <f t="shared" si="0"/>
        <v>0</v>
      </c>
      <c r="K42" s="236"/>
      <c r="L42" s="239"/>
      <c r="M42" s="237"/>
      <c r="N42" s="236"/>
      <c r="O42" s="113">
        <f t="shared" si="1"/>
        <v>0.56524999999999992</v>
      </c>
      <c r="P42" s="124">
        <f>IFERROR(VLOOKUP(I42,Données!$A$3:$B$10,2,0),0)</f>
        <v>0</v>
      </c>
      <c r="Q42" s="124">
        <f t="shared" si="2"/>
        <v>0</v>
      </c>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 customHeight="1" x14ac:dyDescent="0.25">
      <c r="A43" s="10"/>
      <c r="B43" s="238"/>
      <c r="C43" s="81"/>
      <c r="D43" s="57" t="s">
        <v>68</v>
      </c>
      <c r="E43" s="17"/>
      <c r="F43" s="17"/>
      <c r="G43" s="17"/>
      <c r="H43" s="54"/>
      <c r="I43" s="17"/>
      <c r="J43" s="18">
        <f t="shared" si="0"/>
        <v>0</v>
      </c>
      <c r="K43" s="236"/>
      <c r="L43" s="239"/>
      <c r="M43" s="237"/>
      <c r="N43" s="236"/>
      <c r="O43" s="113">
        <f t="shared" si="1"/>
        <v>0.56524999999999992</v>
      </c>
      <c r="P43" s="124">
        <f>IFERROR(VLOOKUP(I43,Données!$A$3:$B$10,2,0),0)</f>
        <v>0</v>
      </c>
      <c r="Q43" s="124">
        <f t="shared" si="2"/>
        <v>0</v>
      </c>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 customHeight="1" x14ac:dyDescent="0.25">
      <c r="A44" s="10"/>
      <c r="B44" s="238"/>
      <c r="C44" s="81"/>
      <c r="D44" s="57" t="s">
        <v>69</v>
      </c>
      <c r="E44" s="17"/>
      <c r="F44" s="17"/>
      <c r="G44" s="17"/>
      <c r="H44" s="54"/>
      <c r="I44" s="17"/>
      <c r="J44" s="18">
        <f t="shared" si="0"/>
        <v>0</v>
      </c>
      <c r="K44" s="236"/>
      <c r="L44" s="239"/>
      <c r="M44" s="237"/>
      <c r="N44" s="236"/>
      <c r="O44" s="113">
        <f t="shared" si="1"/>
        <v>0.56524999999999992</v>
      </c>
      <c r="P44" s="124">
        <f>IFERROR(VLOOKUP(I44,Données!$A$3:$B$10,2,0),0)</f>
        <v>0</v>
      </c>
      <c r="Q44" s="124">
        <f t="shared" si="2"/>
        <v>0</v>
      </c>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 customHeight="1" x14ac:dyDescent="0.25">
      <c r="A45" s="10"/>
      <c r="B45" s="238"/>
      <c r="C45" s="81"/>
      <c r="D45" s="57" t="s">
        <v>70</v>
      </c>
      <c r="E45" s="17"/>
      <c r="F45" s="17"/>
      <c r="G45" s="17"/>
      <c r="H45" s="54"/>
      <c r="I45" s="17"/>
      <c r="J45" s="18">
        <f t="shared" si="0"/>
        <v>0</v>
      </c>
      <c r="K45" s="236"/>
      <c r="L45" s="239"/>
      <c r="M45" s="237"/>
      <c r="N45" s="236"/>
      <c r="O45" s="113">
        <f t="shared" si="1"/>
        <v>0.56524999999999992</v>
      </c>
      <c r="P45" s="124">
        <f>IFERROR(VLOOKUP(I45,Données!$A$3:$B$10,2,0),0)</f>
        <v>0</v>
      </c>
      <c r="Q45" s="124">
        <f t="shared" si="2"/>
        <v>0</v>
      </c>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 customHeight="1" x14ac:dyDescent="0.25">
      <c r="A46" s="10"/>
      <c r="B46" s="238"/>
      <c r="C46" s="81"/>
      <c r="D46" s="57" t="s">
        <v>71</v>
      </c>
      <c r="E46" s="17"/>
      <c r="F46" s="17"/>
      <c r="G46" s="17"/>
      <c r="H46" s="54"/>
      <c r="I46" s="17"/>
      <c r="J46" s="18">
        <f t="shared" si="0"/>
        <v>0</v>
      </c>
      <c r="K46" s="236"/>
      <c r="L46" s="239"/>
      <c r="M46" s="237"/>
      <c r="N46" s="236"/>
      <c r="O46" s="113">
        <f t="shared" si="1"/>
        <v>0.56524999999999992</v>
      </c>
      <c r="P46" s="124">
        <f>IFERROR(VLOOKUP(I46,Données!$A$3:$B$10,2,0),0)</f>
        <v>0</v>
      </c>
      <c r="Q46" s="124">
        <f t="shared" si="2"/>
        <v>0</v>
      </c>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 hidden="1" customHeight="1" outlineLevel="1" x14ac:dyDescent="0.25">
      <c r="A47" s="10"/>
      <c r="B47" s="238"/>
      <c r="C47" s="81"/>
      <c r="D47" s="57" t="s">
        <v>72</v>
      </c>
      <c r="E47" s="17"/>
      <c r="F47" s="17"/>
      <c r="G47" s="17"/>
      <c r="H47" s="54"/>
      <c r="I47" s="17"/>
      <c r="J47" s="18">
        <f t="shared" si="0"/>
        <v>0</v>
      </c>
      <c r="K47" s="236"/>
      <c r="L47" s="239"/>
      <c r="M47" s="237"/>
      <c r="N47" s="236"/>
      <c r="O47" s="113">
        <f t="shared" si="1"/>
        <v>0.56524999999999992</v>
      </c>
      <c r="P47" s="124">
        <f>IFERROR(VLOOKUP(I47,Données!$A$3:$B$10,2,0),0)</f>
        <v>0</v>
      </c>
      <c r="Q47" s="124">
        <f t="shared" si="2"/>
        <v>0</v>
      </c>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 hidden="1" customHeight="1" outlineLevel="1" x14ac:dyDescent="0.25">
      <c r="A48" s="10"/>
      <c r="B48" s="238"/>
      <c r="C48" s="81"/>
      <c r="D48" s="57" t="s">
        <v>73</v>
      </c>
      <c r="E48" s="17"/>
      <c r="F48" s="17"/>
      <c r="G48" s="17"/>
      <c r="H48" s="54"/>
      <c r="I48" s="17"/>
      <c r="J48" s="18">
        <f t="shared" si="0"/>
        <v>0</v>
      </c>
      <c r="K48" s="236"/>
      <c r="L48" s="239"/>
      <c r="M48" s="237"/>
      <c r="N48" s="236"/>
      <c r="O48" s="113">
        <f t="shared" si="1"/>
        <v>0.56524999999999992</v>
      </c>
      <c r="P48" s="124">
        <f>IFERROR(VLOOKUP(I48,Données!$A$3:$B$10,2,0),0)</f>
        <v>0</v>
      </c>
      <c r="Q48" s="124">
        <f t="shared" si="2"/>
        <v>0</v>
      </c>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 hidden="1" customHeight="1" outlineLevel="1" x14ac:dyDescent="0.25">
      <c r="A49" s="10"/>
      <c r="B49" s="238"/>
      <c r="C49" s="81"/>
      <c r="D49" s="57" t="s">
        <v>74</v>
      </c>
      <c r="E49" s="17"/>
      <c r="F49" s="17"/>
      <c r="G49" s="17"/>
      <c r="H49" s="54"/>
      <c r="I49" s="17"/>
      <c r="J49" s="18">
        <f t="shared" si="0"/>
        <v>0</v>
      </c>
      <c r="K49" s="236"/>
      <c r="L49" s="239"/>
      <c r="M49" s="237"/>
      <c r="N49" s="236"/>
      <c r="O49" s="113">
        <f t="shared" si="1"/>
        <v>0.56524999999999992</v>
      </c>
      <c r="P49" s="124">
        <f>IFERROR(VLOOKUP(I49,Données!$A$3:$B$10,2,0),0)</f>
        <v>0</v>
      </c>
      <c r="Q49" s="124">
        <f t="shared" si="2"/>
        <v>0</v>
      </c>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 hidden="1" customHeight="1" outlineLevel="1" x14ac:dyDescent="0.25">
      <c r="A50" s="10"/>
      <c r="B50" s="238"/>
      <c r="C50" s="81"/>
      <c r="D50" s="57" t="s">
        <v>75</v>
      </c>
      <c r="E50" s="17"/>
      <c r="F50" s="17"/>
      <c r="G50" s="17"/>
      <c r="H50" s="54"/>
      <c r="I50" s="17"/>
      <c r="J50" s="18">
        <f t="shared" si="0"/>
        <v>0</v>
      </c>
      <c r="K50" s="236"/>
      <c r="L50" s="239"/>
      <c r="M50" s="237"/>
      <c r="N50" s="236"/>
      <c r="O50" s="113">
        <f t="shared" si="1"/>
        <v>0.56524999999999992</v>
      </c>
      <c r="P50" s="124">
        <f>IFERROR(VLOOKUP(I50,Données!$A$3:$B$10,2,0),0)</f>
        <v>0</v>
      </c>
      <c r="Q50" s="124">
        <f t="shared" si="2"/>
        <v>0</v>
      </c>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 hidden="1" customHeight="1" outlineLevel="1" x14ac:dyDescent="0.25">
      <c r="A51" s="10"/>
      <c r="B51" s="238"/>
      <c r="C51" s="81"/>
      <c r="D51" s="57" t="s">
        <v>76</v>
      </c>
      <c r="E51" s="17"/>
      <c r="F51" s="17"/>
      <c r="G51" s="17"/>
      <c r="H51" s="54"/>
      <c r="I51" s="17"/>
      <c r="J51" s="18">
        <f t="shared" si="0"/>
        <v>0</v>
      </c>
      <c r="K51" s="236"/>
      <c r="L51" s="239"/>
      <c r="M51" s="237"/>
      <c r="N51" s="236"/>
      <c r="O51" s="113">
        <f t="shared" si="1"/>
        <v>0.56524999999999992</v>
      </c>
      <c r="P51" s="124">
        <f>IFERROR(VLOOKUP(I51,Données!$A$3:$B$10,2,0),0)</f>
        <v>0</v>
      </c>
      <c r="Q51" s="124">
        <f t="shared" si="2"/>
        <v>0</v>
      </c>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 hidden="1" customHeight="1" outlineLevel="1" x14ac:dyDescent="0.25">
      <c r="A52" s="10"/>
      <c r="B52" s="238"/>
      <c r="C52" s="81"/>
      <c r="D52" s="57" t="s">
        <v>77</v>
      </c>
      <c r="E52" s="17"/>
      <c r="F52" s="17"/>
      <c r="G52" s="17"/>
      <c r="H52" s="54"/>
      <c r="I52" s="17"/>
      <c r="J52" s="18">
        <f t="shared" si="0"/>
        <v>0</v>
      </c>
      <c r="K52" s="236"/>
      <c r="L52" s="239"/>
      <c r="M52" s="237"/>
      <c r="N52" s="236"/>
      <c r="O52" s="113">
        <f t="shared" si="1"/>
        <v>0.56524999999999992</v>
      </c>
      <c r="P52" s="124">
        <f>IFERROR(VLOOKUP(I52,Données!$A$3:$B$10,2,0),0)</f>
        <v>0</v>
      </c>
      <c r="Q52" s="124">
        <f t="shared" si="2"/>
        <v>0</v>
      </c>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 hidden="1" customHeight="1" outlineLevel="1" x14ac:dyDescent="0.25">
      <c r="A53" s="10"/>
      <c r="B53" s="238"/>
      <c r="C53" s="81"/>
      <c r="D53" s="57" t="s">
        <v>78</v>
      </c>
      <c r="E53" s="17"/>
      <c r="F53" s="17"/>
      <c r="G53" s="17"/>
      <c r="H53" s="54"/>
      <c r="I53" s="17"/>
      <c r="J53" s="18">
        <f t="shared" si="0"/>
        <v>0</v>
      </c>
      <c r="K53" s="236"/>
      <c r="L53" s="239"/>
      <c r="M53" s="237"/>
      <c r="N53" s="236"/>
      <c r="O53" s="113">
        <f t="shared" si="1"/>
        <v>0.56524999999999992</v>
      </c>
      <c r="P53" s="124">
        <f>IFERROR(VLOOKUP(I53,Données!$A$3:$B$10,2,0),0)</f>
        <v>0</v>
      </c>
      <c r="Q53" s="124">
        <f t="shared" si="2"/>
        <v>0</v>
      </c>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 hidden="1" customHeight="1" outlineLevel="1" x14ac:dyDescent="0.25">
      <c r="A54" s="10"/>
      <c r="B54" s="238"/>
      <c r="C54" s="81"/>
      <c r="D54" s="57" t="s">
        <v>79</v>
      </c>
      <c r="E54" s="17"/>
      <c r="F54" s="17"/>
      <c r="G54" s="17"/>
      <c r="H54" s="54"/>
      <c r="I54" s="17"/>
      <c r="J54" s="18">
        <f t="shared" si="0"/>
        <v>0</v>
      </c>
      <c r="K54" s="236"/>
      <c r="L54" s="239"/>
      <c r="M54" s="237"/>
      <c r="N54" s="236"/>
      <c r="O54" s="113">
        <f t="shared" si="1"/>
        <v>0.56524999999999992</v>
      </c>
      <c r="P54" s="124">
        <f>IFERROR(VLOOKUP(I54,Données!$A$3:$B$10,2,0),0)</f>
        <v>0</v>
      </c>
      <c r="Q54" s="124">
        <f t="shared" si="2"/>
        <v>0</v>
      </c>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 hidden="1" customHeight="1" outlineLevel="1" x14ac:dyDescent="0.25">
      <c r="A55" s="10"/>
      <c r="B55" s="238"/>
      <c r="C55" s="81"/>
      <c r="D55" s="57" t="s">
        <v>80</v>
      </c>
      <c r="E55" s="17"/>
      <c r="F55" s="17"/>
      <c r="G55" s="17"/>
      <c r="H55" s="54"/>
      <c r="I55" s="17"/>
      <c r="J55" s="18">
        <f t="shared" si="0"/>
        <v>0</v>
      </c>
      <c r="K55" s="236"/>
      <c r="L55" s="239"/>
      <c r="M55" s="237"/>
      <c r="N55" s="236"/>
      <c r="O55" s="113">
        <f t="shared" si="1"/>
        <v>0.56524999999999992</v>
      </c>
      <c r="P55" s="124">
        <f>IFERROR(VLOOKUP(I55,Données!$A$3:$B$10,2,0),0)</f>
        <v>0</v>
      </c>
      <c r="Q55" s="124">
        <f t="shared" si="2"/>
        <v>0</v>
      </c>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 hidden="1" customHeight="1" outlineLevel="1" x14ac:dyDescent="0.25">
      <c r="A56" s="10"/>
      <c r="B56" s="238"/>
      <c r="C56" s="81"/>
      <c r="D56" s="57" t="s">
        <v>81</v>
      </c>
      <c r="E56" s="17"/>
      <c r="F56" s="17"/>
      <c r="G56" s="17"/>
      <c r="H56" s="54"/>
      <c r="I56" s="17"/>
      <c r="J56" s="18">
        <f t="shared" si="0"/>
        <v>0</v>
      </c>
      <c r="K56" s="236"/>
      <c r="L56" s="239"/>
      <c r="M56" s="237"/>
      <c r="N56" s="236"/>
      <c r="O56" s="113">
        <f t="shared" si="1"/>
        <v>0.56524999999999992</v>
      </c>
      <c r="P56" s="124">
        <f>IFERROR(VLOOKUP(I56,Données!$A$3:$B$10,2,0),0)</f>
        <v>0</v>
      </c>
      <c r="Q56" s="124">
        <f t="shared" si="2"/>
        <v>0</v>
      </c>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 hidden="1" customHeight="1" outlineLevel="1" x14ac:dyDescent="0.25">
      <c r="A57" s="10"/>
      <c r="B57" s="238"/>
      <c r="C57" s="81"/>
      <c r="D57" s="57" t="s">
        <v>82</v>
      </c>
      <c r="E57" s="17"/>
      <c r="F57" s="17"/>
      <c r="G57" s="17"/>
      <c r="H57" s="54"/>
      <c r="I57" s="17"/>
      <c r="J57" s="18">
        <f t="shared" si="0"/>
        <v>0</v>
      </c>
      <c r="K57" s="236"/>
      <c r="L57" s="239"/>
      <c r="M57" s="237"/>
      <c r="N57" s="236"/>
      <c r="O57" s="113">
        <f t="shared" si="1"/>
        <v>0.56524999999999992</v>
      </c>
      <c r="P57" s="124">
        <f>IFERROR(VLOOKUP(I57,Données!$A$3:$B$10,2,0),0)</f>
        <v>0</v>
      </c>
      <c r="Q57" s="124">
        <f t="shared" si="2"/>
        <v>0</v>
      </c>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 hidden="1" customHeight="1" outlineLevel="1" x14ac:dyDescent="0.25">
      <c r="A58" s="10"/>
      <c r="B58" s="238"/>
      <c r="C58" s="81"/>
      <c r="D58" s="57" t="s">
        <v>83</v>
      </c>
      <c r="E58" s="17"/>
      <c r="F58" s="17"/>
      <c r="G58" s="17"/>
      <c r="H58" s="54"/>
      <c r="I58" s="17"/>
      <c r="J58" s="18">
        <f t="shared" si="0"/>
        <v>0</v>
      </c>
      <c r="K58" s="236"/>
      <c r="L58" s="239"/>
      <c r="M58" s="237"/>
      <c r="N58" s="236"/>
      <c r="O58" s="113">
        <f t="shared" si="1"/>
        <v>0.56524999999999992</v>
      </c>
      <c r="P58" s="124">
        <f>IFERROR(VLOOKUP(I58,Données!$A$3:$B$10,2,0),0)</f>
        <v>0</v>
      </c>
      <c r="Q58" s="124">
        <f t="shared" si="2"/>
        <v>0</v>
      </c>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 hidden="1" customHeight="1" outlineLevel="1" x14ac:dyDescent="0.25">
      <c r="A59" s="10"/>
      <c r="B59" s="238"/>
      <c r="C59" s="81"/>
      <c r="D59" s="57" t="s">
        <v>84</v>
      </c>
      <c r="E59" s="17"/>
      <c r="F59" s="17"/>
      <c r="G59" s="17"/>
      <c r="H59" s="54"/>
      <c r="I59" s="17"/>
      <c r="J59" s="18">
        <f t="shared" si="0"/>
        <v>0</v>
      </c>
      <c r="K59" s="236"/>
      <c r="L59" s="239"/>
      <c r="M59" s="237"/>
      <c r="N59" s="236"/>
      <c r="O59" s="113">
        <f t="shared" si="1"/>
        <v>0.56524999999999992</v>
      </c>
      <c r="P59" s="124">
        <f>IFERROR(VLOOKUP(I59,Données!$A$3:$B$10,2,0),0)</f>
        <v>0</v>
      </c>
      <c r="Q59" s="124">
        <f t="shared" si="2"/>
        <v>0</v>
      </c>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 hidden="1" customHeight="1" outlineLevel="1" x14ac:dyDescent="0.25">
      <c r="A60" s="10"/>
      <c r="B60" s="238"/>
      <c r="C60" s="81"/>
      <c r="D60" s="57" t="s">
        <v>85</v>
      </c>
      <c r="E60" s="17"/>
      <c r="F60" s="17"/>
      <c r="G60" s="17"/>
      <c r="H60" s="54"/>
      <c r="I60" s="17"/>
      <c r="J60" s="18">
        <f t="shared" si="0"/>
        <v>0</v>
      </c>
      <c r="K60" s="236"/>
      <c r="L60" s="239"/>
      <c r="M60" s="237"/>
      <c r="N60" s="236"/>
      <c r="O60" s="113">
        <f t="shared" si="1"/>
        <v>0.56524999999999992</v>
      </c>
      <c r="P60" s="124">
        <f>IFERROR(VLOOKUP(I60,Données!$A$3:$B$10,2,0),0)</f>
        <v>0</v>
      </c>
      <c r="Q60" s="124">
        <f t="shared" si="2"/>
        <v>0</v>
      </c>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 hidden="1" customHeight="1" outlineLevel="1" x14ac:dyDescent="0.25">
      <c r="A61" s="10"/>
      <c r="B61" s="238"/>
      <c r="C61" s="81"/>
      <c r="D61" s="57" t="s">
        <v>86</v>
      </c>
      <c r="E61" s="17"/>
      <c r="F61" s="17"/>
      <c r="G61" s="17"/>
      <c r="H61" s="54"/>
      <c r="I61" s="17"/>
      <c r="J61" s="18">
        <f t="shared" si="0"/>
        <v>0</v>
      </c>
      <c r="K61" s="236"/>
      <c r="L61" s="239"/>
      <c r="M61" s="237"/>
      <c r="N61" s="236"/>
      <c r="O61" s="113">
        <f t="shared" si="1"/>
        <v>0.56524999999999992</v>
      </c>
      <c r="P61" s="124">
        <f>IFERROR(VLOOKUP(I61,Données!$A$3:$B$10,2,0),0)</f>
        <v>0</v>
      </c>
      <c r="Q61" s="124">
        <f t="shared" si="2"/>
        <v>0</v>
      </c>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 hidden="1" customHeight="1" outlineLevel="1" x14ac:dyDescent="0.25">
      <c r="A62" s="10"/>
      <c r="B62" s="238"/>
      <c r="C62" s="81"/>
      <c r="D62" s="57" t="s">
        <v>87</v>
      </c>
      <c r="E62" s="17"/>
      <c r="F62" s="17"/>
      <c r="G62" s="17"/>
      <c r="H62" s="54"/>
      <c r="I62" s="17"/>
      <c r="J62" s="18">
        <f t="shared" si="0"/>
        <v>0</v>
      </c>
      <c r="K62" s="236"/>
      <c r="L62" s="239"/>
      <c r="M62" s="237"/>
      <c r="N62" s="236"/>
      <c r="O62" s="113">
        <f t="shared" si="1"/>
        <v>0.56524999999999992</v>
      </c>
      <c r="P62" s="124">
        <f>IFERROR(VLOOKUP(I62,Données!$A$3:$B$10,2,0),0)</f>
        <v>0</v>
      </c>
      <c r="Q62" s="124">
        <f t="shared" si="2"/>
        <v>0</v>
      </c>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 hidden="1" customHeight="1" outlineLevel="1" x14ac:dyDescent="0.25">
      <c r="A63" s="10"/>
      <c r="B63" s="238"/>
      <c r="C63" s="81"/>
      <c r="D63" s="57" t="s">
        <v>88</v>
      </c>
      <c r="E63" s="17"/>
      <c r="F63" s="17"/>
      <c r="G63" s="17"/>
      <c r="H63" s="54"/>
      <c r="I63" s="17"/>
      <c r="J63" s="18">
        <f t="shared" si="0"/>
        <v>0</v>
      </c>
      <c r="K63" s="236"/>
      <c r="L63" s="239"/>
      <c r="M63" s="237"/>
      <c r="N63" s="236"/>
      <c r="O63" s="113">
        <f t="shared" si="1"/>
        <v>0.56524999999999992</v>
      </c>
      <c r="P63" s="124">
        <f>IFERROR(VLOOKUP(I63,Données!$A$3:$B$10,2,0),0)</f>
        <v>0</v>
      </c>
      <c r="Q63" s="124">
        <f t="shared" si="2"/>
        <v>0</v>
      </c>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 hidden="1" customHeight="1" outlineLevel="1" x14ac:dyDescent="0.25">
      <c r="A64" s="10"/>
      <c r="B64" s="238"/>
      <c r="C64" s="81"/>
      <c r="D64" s="57" t="s">
        <v>89</v>
      </c>
      <c r="E64" s="17"/>
      <c r="F64" s="17"/>
      <c r="G64" s="17"/>
      <c r="H64" s="54"/>
      <c r="I64" s="17"/>
      <c r="J64" s="18">
        <f t="shared" si="0"/>
        <v>0</v>
      </c>
      <c r="K64" s="236"/>
      <c r="L64" s="239"/>
      <c r="M64" s="237"/>
      <c r="N64" s="236"/>
      <c r="O64" s="113">
        <f t="shared" si="1"/>
        <v>0.56524999999999992</v>
      </c>
      <c r="P64" s="124">
        <f>IFERROR(VLOOKUP(I64,Données!$A$3:$B$10,2,0),0)</f>
        <v>0</v>
      </c>
      <c r="Q64" s="124">
        <f t="shared" si="2"/>
        <v>0</v>
      </c>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 hidden="1" customHeight="1" outlineLevel="1" x14ac:dyDescent="0.25">
      <c r="A65" s="10"/>
      <c r="B65" s="238"/>
      <c r="C65" s="81"/>
      <c r="D65" s="57" t="s">
        <v>90</v>
      </c>
      <c r="E65" s="17"/>
      <c r="F65" s="17"/>
      <c r="G65" s="17"/>
      <c r="H65" s="54"/>
      <c r="I65" s="17"/>
      <c r="J65" s="18">
        <f t="shared" si="0"/>
        <v>0</v>
      </c>
      <c r="K65" s="236"/>
      <c r="L65" s="239"/>
      <c r="M65" s="237"/>
      <c r="N65" s="236"/>
      <c r="O65" s="113">
        <f t="shared" si="1"/>
        <v>0.56524999999999992</v>
      </c>
      <c r="P65" s="124">
        <f>IFERROR(VLOOKUP(I65,Données!$A$3:$B$10,2,0),0)</f>
        <v>0</v>
      </c>
      <c r="Q65" s="124">
        <f t="shared" si="2"/>
        <v>0</v>
      </c>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 hidden="1" customHeight="1" outlineLevel="1" x14ac:dyDescent="0.25">
      <c r="A66" s="10"/>
      <c r="B66" s="238"/>
      <c r="C66" s="81"/>
      <c r="D66" s="57" t="s">
        <v>91</v>
      </c>
      <c r="E66" s="17"/>
      <c r="F66" s="17"/>
      <c r="G66" s="17"/>
      <c r="H66" s="54"/>
      <c r="I66" s="17"/>
      <c r="J66" s="18">
        <f t="shared" si="0"/>
        <v>0</v>
      </c>
      <c r="K66" s="236"/>
      <c r="L66" s="239"/>
      <c r="M66" s="237"/>
      <c r="N66" s="236"/>
      <c r="O66" s="113">
        <f t="shared" si="1"/>
        <v>0.56524999999999992</v>
      </c>
      <c r="P66" s="124">
        <f>IFERROR(VLOOKUP(I66,Données!$A$3:$B$10,2,0),0)</f>
        <v>0</v>
      </c>
      <c r="Q66" s="124">
        <f t="shared" si="2"/>
        <v>0</v>
      </c>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 hidden="1" customHeight="1" outlineLevel="1" x14ac:dyDescent="0.25">
      <c r="A67" s="10"/>
      <c r="B67" s="238"/>
      <c r="C67" s="81"/>
      <c r="D67" s="57" t="s">
        <v>92</v>
      </c>
      <c r="E67" s="17"/>
      <c r="F67" s="17"/>
      <c r="G67" s="17"/>
      <c r="H67" s="54"/>
      <c r="I67" s="17"/>
      <c r="J67" s="18">
        <f t="shared" si="0"/>
        <v>0</v>
      </c>
      <c r="K67" s="236"/>
      <c r="L67" s="239"/>
      <c r="M67" s="237"/>
      <c r="N67" s="236"/>
      <c r="O67" s="113">
        <f t="shared" si="1"/>
        <v>0.56524999999999992</v>
      </c>
      <c r="P67" s="124">
        <f>IFERROR(VLOOKUP(I67,Données!$A$3:$B$10,2,0),0)</f>
        <v>0</v>
      </c>
      <c r="Q67" s="124">
        <f t="shared" si="2"/>
        <v>0</v>
      </c>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 hidden="1" customHeight="1" outlineLevel="1" x14ac:dyDescent="0.25">
      <c r="A68" s="10"/>
      <c r="B68" s="238"/>
      <c r="C68" s="81"/>
      <c r="D68" s="57" t="s">
        <v>93</v>
      </c>
      <c r="E68" s="17"/>
      <c r="F68" s="17"/>
      <c r="G68" s="17"/>
      <c r="H68" s="54"/>
      <c r="I68" s="17"/>
      <c r="J68" s="18">
        <f t="shared" si="0"/>
        <v>0</v>
      </c>
      <c r="K68" s="236"/>
      <c r="L68" s="239"/>
      <c r="M68" s="237"/>
      <c r="N68" s="236"/>
      <c r="O68" s="113">
        <f t="shared" si="1"/>
        <v>0.56524999999999992</v>
      </c>
      <c r="P68" s="124">
        <f>IFERROR(VLOOKUP(I68,Données!$A$3:$B$10,2,0),0)</f>
        <v>0</v>
      </c>
      <c r="Q68" s="124">
        <f t="shared" si="2"/>
        <v>0</v>
      </c>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 hidden="1" customHeight="1" outlineLevel="1" x14ac:dyDescent="0.25">
      <c r="A69" s="10"/>
      <c r="B69" s="238"/>
      <c r="C69" s="81"/>
      <c r="D69" s="57" t="s">
        <v>94</v>
      </c>
      <c r="E69" s="17"/>
      <c r="F69" s="17"/>
      <c r="G69" s="17"/>
      <c r="H69" s="54"/>
      <c r="I69" s="17"/>
      <c r="J69" s="18">
        <f t="shared" si="0"/>
        <v>0</v>
      </c>
      <c r="K69" s="236"/>
      <c r="L69" s="239"/>
      <c r="M69" s="237"/>
      <c r="N69" s="236"/>
      <c r="O69" s="113">
        <f t="shared" si="1"/>
        <v>0.56524999999999992</v>
      </c>
      <c r="P69" s="124">
        <f>IFERROR(VLOOKUP(I69,Données!$A$3:$B$10,2,0),0)</f>
        <v>0</v>
      </c>
      <c r="Q69" s="124">
        <f t="shared" si="2"/>
        <v>0</v>
      </c>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 hidden="1" customHeight="1" outlineLevel="1" x14ac:dyDescent="0.25">
      <c r="A70" s="10"/>
      <c r="B70" s="238"/>
      <c r="C70" s="81"/>
      <c r="D70" s="57" t="s">
        <v>95</v>
      </c>
      <c r="E70" s="17"/>
      <c r="F70" s="17"/>
      <c r="G70" s="17"/>
      <c r="H70" s="54"/>
      <c r="I70" s="17"/>
      <c r="J70" s="18">
        <f t="shared" si="0"/>
        <v>0</v>
      </c>
      <c r="K70" s="236"/>
      <c r="L70" s="239"/>
      <c r="M70" s="237"/>
      <c r="N70" s="236"/>
      <c r="O70" s="113">
        <f t="shared" si="1"/>
        <v>0.56524999999999992</v>
      </c>
      <c r="P70" s="124">
        <f>IFERROR(VLOOKUP(I70,Données!$A$3:$B$10,2,0),0)</f>
        <v>0</v>
      </c>
      <c r="Q70" s="124">
        <f t="shared" si="2"/>
        <v>0</v>
      </c>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 hidden="1" customHeight="1" outlineLevel="1" x14ac:dyDescent="0.25">
      <c r="A71" s="10"/>
      <c r="B71" s="238"/>
      <c r="C71" s="81"/>
      <c r="D71" s="57" t="s">
        <v>96</v>
      </c>
      <c r="E71" s="17"/>
      <c r="F71" s="17"/>
      <c r="G71" s="17"/>
      <c r="H71" s="54"/>
      <c r="I71" s="17"/>
      <c r="J71" s="18">
        <f t="shared" si="0"/>
        <v>0</v>
      </c>
      <c r="K71" s="236"/>
      <c r="L71" s="239"/>
      <c r="M71" s="237"/>
      <c r="N71" s="236"/>
      <c r="O71" s="113">
        <f t="shared" si="1"/>
        <v>0.56524999999999992</v>
      </c>
      <c r="P71" s="124">
        <f>IFERROR(VLOOKUP(I71,Données!$A$3:$B$10,2,0),0)</f>
        <v>0</v>
      </c>
      <c r="Q71" s="124">
        <f t="shared" si="2"/>
        <v>0</v>
      </c>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 hidden="1" customHeight="1" outlineLevel="1" x14ac:dyDescent="0.25">
      <c r="A72" s="10"/>
      <c r="B72" s="238"/>
      <c r="C72" s="81"/>
      <c r="D72" s="57" t="s">
        <v>97</v>
      </c>
      <c r="E72" s="17"/>
      <c r="F72" s="17"/>
      <c r="G72" s="17"/>
      <c r="H72" s="54"/>
      <c r="I72" s="17"/>
      <c r="J72" s="18">
        <f t="shared" si="0"/>
        <v>0</v>
      </c>
      <c r="K72" s="236"/>
      <c r="L72" s="239"/>
      <c r="M72" s="237"/>
      <c r="N72" s="236"/>
      <c r="O72" s="113">
        <f t="shared" si="1"/>
        <v>0.56524999999999992</v>
      </c>
      <c r="P72" s="124">
        <f>IFERROR(VLOOKUP(I72,Données!$A$3:$B$10,2,0),0)</f>
        <v>0</v>
      </c>
      <c r="Q72" s="124">
        <f t="shared" si="2"/>
        <v>0</v>
      </c>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 hidden="1" customHeight="1" outlineLevel="1" x14ac:dyDescent="0.25">
      <c r="A73" s="10"/>
      <c r="B73" s="238"/>
      <c r="C73" s="81"/>
      <c r="D73" s="57" t="s">
        <v>98</v>
      </c>
      <c r="E73" s="17"/>
      <c r="F73" s="17"/>
      <c r="G73" s="17"/>
      <c r="H73" s="54"/>
      <c r="I73" s="17"/>
      <c r="J73" s="18">
        <f t="shared" si="0"/>
        <v>0</v>
      </c>
      <c r="K73" s="236"/>
      <c r="L73" s="239"/>
      <c r="M73" s="237"/>
      <c r="N73" s="236"/>
      <c r="O73" s="113">
        <f t="shared" si="1"/>
        <v>0.56524999999999992</v>
      </c>
      <c r="P73" s="124">
        <f>IFERROR(VLOOKUP(I73,Données!$A$3:$B$10,2,0),0)</f>
        <v>0</v>
      </c>
      <c r="Q73" s="124">
        <f t="shared" si="2"/>
        <v>0</v>
      </c>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 hidden="1" customHeight="1" outlineLevel="1" x14ac:dyDescent="0.25">
      <c r="A74" s="10"/>
      <c r="B74" s="238"/>
      <c r="C74" s="81"/>
      <c r="D74" s="57" t="s">
        <v>99</v>
      </c>
      <c r="E74" s="17"/>
      <c r="F74" s="17"/>
      <c r="G74" s="17"/>
      <c r="H74" s="54"/>
      <c r="I74" s="17"/>
      <c r="J74" s="18">
        <f t="shared" si="0"/>
        <v>0</v>
      </c>
      <c r="K74" s="236"/>
      <c r="L74" s="239"/>
      <c r="M74" s="237"/>
      <c r="N74" s="236"/>
      <c r="O74" s="113">
        <f t="shared" si="1"/>
        <v>0.56524999999999992</v>
      </c>
      <c r="P74" s="124">
        <f>IFERROR(VLOOKUP(I74,Données!$A$3:$B$10,2,0),0)</f>
        <v>0</v>
      </c>
      <c r="Q74" s="124">
        <f t="shared" si="2"/>
        <v>0</v>
      </c>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 hidden="1" customHeight="1" outlineLevel="1" x14ac:dyDescent="0.25">
      <c r="A75" s="10"/>
      <c r="B75" s="238"/>
      <c r="C75" s="81"/>
      <c r="D75" s="57" t="s">
        <v>100</v>
      </c>
      <c r="E75" s="17"/>
      <c r="F75" s="17"/>
      <c r="G75" s="17"/>
      <c r="H75" s="54"/>
      <c r="I75" s="17"/>
      <c r="J75" s="18">
        <f t="shared" si="0"/>
        <v>0</v>
      </c>
      <c r="K75" s="236"/>
      <c r="L75" s="239"/>
      <c r="M75" s="237"/>
      <c r="N75" s="236"/>
      <c r="O75" s="113">
        <f t="shared" si="1"/>
        <v>0.56524999999999992</v>
      </c>
      <c r="P75" s="124">
        <f>IFERROR(VLOOKUP(I75,Données!$A$3:$B$10,2,0),0)</f>
        <v>0</v>
      </c>
      <c r="Q75" s="124">
        <f t="shared" si="2"/>
        <v>0</v>
      </c>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 hidden="1" customHeight="1" outlineLevel="1" x14ac:dyDescent="0.25">
      <c r="A76" s="10"/>
      <c r="B76" s="238"/>
      <c r="C76" s="81"/>
      <c r="D76" s="57" t="s">
        <v>101</v>
      </c>
      <c r="E76" s="17"/>
      <c r="F76" s="17"/>
      <c r="G76" s="17"/>
      <c r="H76" s="54"/>
      <c r="I76" s="17"/>
      <c r="J76" s="18">
        <f t="shared" si="0"/>
        <v>0</v>
      </c>
      <c r="K76" s="236"/>
      <c r="L76" s="228"/>
      <c r="M76" s="237"/>
      <c r="N76" s="236"/>
      <c r="O76" s="113">
        <f t="shared" si="1"/>
        <v>0.56524999999999992</v>
      </c>
      <c r="P76" s="124">
        <f>IFERROR(VLOOKUP(I76,Données!$A$3:$B$10,2,0),0)</f>
        <v>0</v>
      </c>
      <c r="Q76" s="124">
        <f t="shared" si="2"/>
        <v>0</v>
      </c>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 customHeight="1" collapsed="1" x14ac:dyDescent="0.25">
      <c r="A77" s="10"/>
      <c r="B77" s="231" t="s">
        <v>102</v>
      </c>
      <c r="C77" s="49" t="s">
        <v>103</v>
      </c>
      <c r="D77" s="57" t="s">
        <v>104</v>
      </c>
      <c r="E77" s="17"/>
      <c r="F77" s="17"/>
      <c r="G77" s="10"/>
      <c r="H77" s="10"/>
      <c r="I77" s="10"/>
      <c r="J77" s="18">
        <f t="shared" si="0"/>
        <v>0</v>
      </c>
      <c r="K77" s="227">
        <f>+J79+J77+J78</f>
        <v>0</v>
      </c>
      <c r="L77" s="227">
        <f>SUM(F77:F79)</f>
        <v>0</v>
      </c>
      <c r="M77" s="233">
        <v>1</v>
      </c>
      <c r="N77" s="227">
        <f>+M77*K77</f>
        <v>0</v>
      </c>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 customHeight="1" x14ac:dyDescent="0.25">
      <c r="A78" s="10"/>
      <c r="B78" s="240"/>
      <c r="C78" s="81"/>
      <c r="D78" s="57" t="s">
        <v>105</v>
      </c>
      <c r="E78" s="17"/>
      <c r="F78" s="17"/>
      <c r="G78" s="10"/>
      <c r="H78" s="10"/>
      <c r="I78" s="10"/>
      <c r="J78" s="18">
        <f t="shared" si="0"/>
        <v>0</v>
      </c>
      <c r="K78" s="239"/>
      <c r="L78" s="239"/>
      <c r="M78" s="241"/>
      <c r="N78" s="239"/>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 customHeight="1" x14ac:dyDescent="0.25">
      <c r="A79" s="10"/>
      <c r="B79" s="232"/>
      <c r="C79" s="82"/>
      <c r="D79" s="57" t="s">
        <v>106</v>
      </c>
      <c r="E79" s="17"/>
      <c r="F79" s="17"/>
      <c r="G79" s="10"/>
      <c r="H79" s="10"/>
      <c r="I79" s="10"/>
      <c r="J79" s="18">
        <f t="shared" si="0"/>
        <v>0</v>
      </c>
      <c r="K79" s="228"/>
      <c r="L79" s="228"/>
      <c r="M79" s="234"/>
      <c r="N79" s="228"/>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8.75" customHeight="1" x14ac:dyDescent="0.25">
      <c r="A80" s="10"/>
      <c r="B80" s="86"/>
      <c r="C80" s="86" t="s">
        <v>107</v>
      </c>
      <c r="D80" s="14"/>
      <c r="E80" s="18" t="e">
        <f>N80/F80</f>
        <v>#DIV/0!</v>
      </c>
      <c r="F80" s="18">
        <f>SUM(F37:F79)</f>
        <v>0</v>
      </c>
      <c r="G80" s="10"/>
      <c r="H80" s="10"/>
      <c r="I80" s="10"/>
      <c r="J80" s="10"/>
      <c r="K80" s="10"/>
      <c r="L80" s="18">
        <f>L77+L37</f>
        <v>0</v>
      </c>
      <c r="M80" s="15"/>
      <c r="N80" s="18">
        <f>N77+N37</f>
        <v>0</v>
      </c>
      <c r="O80" s="32"/>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 customHeight="1" x14ac:dyDescent="0.25">
      <c r="A81" s="10"/>
      <c r="B81" s="231" t="s">
        <v>108</v>
      </c>
      <c r="C81" s="49" t="s">
        <v>109</v>
      </c>
      <c r="D81" s="47" t="s">
        <v>110</v>
      </c>
      <c r="E81" s="17"/>
      <c r="F81" s="17"/>
      <c r="G81" s="10"/>
      <c r="H81" s="10"/>
      <c r="I81" s="10"/>
      <c r="J81" s="18">
        <f t="shared" ref="J81:J112" si="3">E81*F81</f>
        <v>0</v>
      </c>
      <c r="K81" s="227">
        <f>SUM(J81:J90)</f>
        <v>0</v>
      </c>
      <c r="L81" s="227">
        <f>SUM(F81:F90)</f>
        <v>0</v>
      </c>
      <c r="M81" s="233">
        <v>1</v>
      </c>
      <c r="N81" s="227">
        <f>+M81*K81</f>
        <v>0</v>
      </c>
      <c r="O81" s="32"/>
      <c r="P81" s="10"/>
      <c r="Q81" s="125"/>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 customHeight="1" x14ac:dyDescent="0.25">
      <c r="A82" s="10"/>
      <c r="B82" s="240"/>
      <c r="C82" s="81"/>
      <c r="D82" s="47" t="s">
        <v>111</v>
      </c>
      <c r="E82" s="17"/>
      <c r="F82" s="17"/>
      <c r="G82" s="10"/>
      <c r="H82" s="10"/>
      <c r="I82" s="10"/>
      <c r="J82" s="18">
        <f t="shared" si="3"/>
        <v>0</v>
      </c>
      <c r="K82" s="239"/>
      <c r="L82" s="239"/>
      <c r="M82" s="241"/>
      <c r="N82" s="239"/>
      <c r="O82" s="32"/>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 customHeight="1" x14ac:dyDescent="0.25">
      <c r="A83" s="10"/>
      <c r="B83" s="240"/>
      <c r="C83" s="81"/>
      <c r="D83" s="47" t="s">
        <v>112</v>
      </c>
      <c r="E83" s="17"/>
      <c r="F83" s="17"/>
      <c r="G83" s="10"/>
      <c r="H83" s="10"/>
      <c r="I83" s="10"/>
      <c r="J83" s="18">
        <f t="shared" si="3"/>
        <v>0</v>
      </c>
      <c r="K83" s="239"/>
      <c r="L83" s="239"/>
      <c r="M83" s="241"/>
      <c r="N83" s="239"/>
      <c r="O83" s="32"/>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 customHeight="1" x14ac:dyDescent="0.25">
      <c r="A84" s="10"/>
      <c r="B84" s="240"/>
      <c r="C84" s="81"/>
      <c r="D84" s="47" t="s">
        <v>113</v>
      </c>
      <c r="E84" s="17"/>
      <c r="F84" s="17"/>
      <c r="G84" s="10"/>
      <c r="H84" s="10"/>
      <c r="I84" s="10"/>
      <c r="J84" s="18">
        <f t="shared" si="3"/>
        <v>0</v>
      </c>
      <c r="K84" s="239"/>
      <c r="L84" s="239"/>
      <c r="M84" s="241"/>
      <c r="N84" s="239"/>
      <c r="O84" s="32"/>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 customHeight="1" x14ac:dyDescent="0.25">
      <c r="A85" s="10"/>
      <c r="B85" s="240"/>
      <c r="C85" s="81"/>
      <c r="D85" s="47" t="s">
        <v>114</v>
      </c>
      <c r="E85" s="17"/>
      <c r="F85" s="17"/>
      <c r="G85" s="10"/>
      <c r="H85" s="10"/>
      <c r="I85" s="10"/>
      <c r="J85" s="18">
        <f t="shared" si="3"/>
        <v>0</v>
      </c>
      <c r="K85" s="239"/>
      <c r="L85" s="239"/>
      <c r="M85" s="241"/>
      <c r="N85" s="239"/>
      <c r="O85" s="32"/>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 customHeight="1" x14ac:dyDescent="0.25">
      <c r="A86" s="10"/>
      <c r="B86" s="240"/>
      <c r="C86" s="81"/>
      <c r="D86" s="47" t="s">
        <v>115</v>
      </c>
      <c r="E86" s="17"/>
      <c r="F86" s="17"/>
      <c r="G86" s="10"/>
      <c r="H86" s="10"/>
      <c r="I86" s="10"/>
      <c r="J86" s="18">
        <f t="shared" si="3"/>
        <v>0</v>
      </c>
      <c r="K86" s="239"/>
      <c r="L86" s="239"/>
      <c r="M86" s="241"/>
      <c r="N86" s="239"/>
      <c r="O86" s="32"/>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 customHeight="1" x14ac:dyDescent="0.25">
      <c r="A87" s="10"/>
      <c r="B87" s="240"/>
      <c r="C87" s="81"/>
      <c r="D87" s="47" t="s">
        <v>116</v>
      </c>
      <c r="E87" s="17"/>
      <c r="F87" s="17"/>
      <c r="G87" s="10"/>
      <c r="H87" s="10"/>
      <c r="I87" s="10"/>
      <c r="J87" s="18">
        <f t="shared" si="3"/>
        <v>0</v>
      </c>
      <c r="K87" s="239"/>
      <c r="L87" s="239"/>
      <c r="M87" s="241"/>
      <c r="N87" s="239"/>
      <c r="O87" s="32"/>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 customHeight="1" x14ac:dyDescent="0.25">
      <c r="A88" s="10"/>
      <c r="B88" s="240"/>
      <c r="C88" s="81"/>
      <c r="D88" s="47" t="s">
        <v>117</v>
      </c>
      <c r="E88" s="17"/>
      <c r="F88" s="17"/>
      <c r="G88" s="10"/>
      <c r="H88" s="10"/>
      <c r="I88" s="10"/>
      <c r="J88" s="18">
        <f t="shared" si="3"/>
        <v>0</v>
      </c>
      <c r="K88" s="239"/>
      <c r="L88" s="239"/>
      <c r="M88" s="241"/>
      <c r="N88" s="239"/>
      <c r="O88" s="32"/>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 customHeight="1" x14ac:dyDescent="0.25">
      <c r="A89" s="10"/>
      <c r="B89" s="240"/>
      <c r="C89" s="81"/>
      <c r="D89" s="47" t="s">
        <v>118</v>
      </c>
      <c r="E89" s="17"/>
      <c r="F89" s="17"/>
      <c r="G89" s="10"/>
      <c r="H89" s="10"/>
      <c r="I89" s="10"/>
      <c r="J89" s="18">
        <f t="shared" si="3"/>
        <v>0</v>
      </c>
      <c r="K89" s="239"/>
      <c r="L89" s="239"/>
      <c r="M89" s="241"/>
      <c r="N89" s="239"/>
      <c r="O89" s="32"/>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 customHeight="1" x14ac:dyDescent="0.25">
      <c r="A90" s="10"/>
      <c r="B90" s="232"/>
      <c r="C90" s="82"/>
      <c r="D90" s="47" t="s">
        <v>119</v>
      </c>
      <c r="E90" s="17"/>
      <c r="F90" s="17"/>
      <c r="G90" s="10"/>
      <c r="H90" s="10"/>
      <c r="I90" s="10"/>
      <c r="J90" s="18">
        <f t="shared" si="3"/>
        <v>0</v>
      </c>
      <c r="K90" s="228"/>
      <c r="L90" s="228"/>
      <c r="M90" s="234"/>
      <c r="N90" s="228"/>
      <c r="O90" s="32"/>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 customHeight="1" x14ac:dyDescent="0.25">
      <c r="A91" s="10"/>
      <c r="B91" s="231" t="s">
        <v>120</v>
      </c>
      <c r="C91" s="49" t="s">
        <v>121</v>
      </c>
      <c r="D91" s="48" t="s">
        <v>122</v>
      </c>
      <c r="E91" s="17"/>
      <c r="F91" s="17"/>
      <c r="G91" s="10"/>
      <c r="H91" s="10"/>
      <c r="I91" s="10"/>
      <c r="J91" s="18">
        <f t="shared" si="3"/>
        <v>0</v>
      </c>
      <c r="K91" s="227">
        <f>SUM(J91:J100)</f>
        <v>0</v>
      </c>
      <c r="L91" s="227">
        <f>SUM(F91:F100)</f>
        <v>0</v>
      </c>
      <c r="M91" s="233">
        <v>1</v>
      </c>
      <c r="N91" s="227">
        <f>+M91*K91</f>
        <v>0</v>
      </c>
      <c r="O91" s="32"/>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 customHeight="1" x14ac:dyDescent="0.25">
      <c r="A92" s="10"/>
      <c r="B92" s="240"/>
      <c r="C92" s="81"/>
      <c r="D92" s="48" t="s">
        <v>123</v>
      </c>
      <c r="E92" s="17"/>
      <c r="F92" s="17"/>
      <c r="G92" s="10"/>
      <c r="H92" s="10"/>
      <c r="I92" s="10"/>
      <c r="J92" s="18">
        <f t="shared" si="3"/>
        <v>0</v>
      </c>
      <c r="K92" s="239"/>
      <c r="L92" s="239"/>
      <c r="M92" s="241"/>
      <c r="N92" s="239"/>
      <c r="O92" s="32"/>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 customHeight="1" x14ac:dyDescent="0.25">
      <c r="A93" s="10"/>
      <c r="B93" s="240"/>
      <c r="C93" s="81"/>
      <c r="D93" s="48" t="s">
        <v>124</v>
      </c>
      <c r="E93" s="17"/>
      <c r="F93" s="17"/>
      <c r="G93" s="10"/>
      <c r="H93" s="10"/>
      <c r="I93" s="10"/>
      <c r="J93" s="18">
        <f t="shared" si="3"/>
        <v>0</v>
      </c>
      <c r="K93" s="239"/>
      <c r="L93" s="239"/>
      <c r="M93" s="241"/>
      <c r="N93" s="239"/>
      <c r="O93" s="32"/>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 customHeight="1" x14ac:dyDescent="0.25">
      <c r="A94" s="10"/>
      <c r="B94" s="240"/>
      <c r="C94" s="81"/>
      <c r="D94" s="48" t="s">
        <v>125</v>
      </c>
      <c r="E94" s="17"/>
      <c r="F94" s="17"/>
      <c r="G94" s="10"/>
      <c r="H94" s="10"/>
      <c r="I94" s="10"/>
      <c r="J94" s="18">
        <f t="shared" si="3"/>
        <v>0</v>
      </c>
      <c r="K94" s="239"/>
      <c r="L94" s="239"/>
      <c r="M94" s="241"/>
      <c r="N94" s="239"/>
      <c r="O94" s="32"/>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 customHeight="1" x14ac:dyDescent="0.25">
      <c r="A95" s="10"/>
      <c r="B95" s="240"/>
      <c r="C95" s="81"/>
      <c r="D95" s="48" t="s">
        <v>126</v>
      </c>
      <c r="E95" s="17"/>
      <c r="F95" s="17"/>
      <c r="G95" s="10"/>
      <c r="H95" s="10"/>
      <c r="I95" s="10"/>
      <c r="J95" s="18">
        <f t="shared" si="3"/>
        <v>0</v>
      </c>
      <c r="K95" s="239"/>
      <c r="L95" s="239"/>
      <c r="M95" s="241"/>
      <c r="N95" s="239"/>
      <c r="O95" s="32"/>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 customHeight="1" x14ac:dyDescent="0.25">
      <c r="A96" s="10"/>
      <c r="B96" s="240"/>
      <c r="C96" s="81"/>
      <c r="D96" s="48" t="s">
        <v>127</v>
      </c>
      <c r="E96" s="17"/>
      <c r="F96" s="17"/>
      <c r="G96" s="10"/>
      <c r="H96" s="10"/>
      <c r="I96" s="10"/>
      <c r="J96" s="18">
        <f t="shared" si="3"/>
        <v>0</v>
      </c>
      <c r="K96" s="239"/>
      <c r="L96" s="239"/>
      <c r="M96" s="241"/>
      <c r="N96" s="239"/>
      <c r="O96" s="32"/>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 customHeight="1" x14ac:dyDescent="0.25">
      <c r="A97" s="10"/>
      <c r="B97" s="240"/>
      <c r="C97" s="81"/>
      <c r="D97" s="48" t="s">
        <v>128</v>
      </c>
      <c r="E97" s="17"/>
      <c r="F97" s="17"/>
      <c r="G97" s="10"/>
      <c r="H97" s="10"/>
      <c r="I97" s="10"/>
      <c r="J97" s="18">
        <f t="shared" si="3"/>
        <v>0</v>
      </c>
      <c r="K97" s="239"/>
      <c r="L97" s="239"/>
      <c r="M97" s="241"/>
      <c r="N97" s="239"/>
      <c r="O97" s="32"/>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 customHeight="1" x14ac:dyDescent="0.25">
      <c r="A98" s="10"/>
      <c r="B98" s="240"/>
      <c r="C98" s="81"/>
      <c r="D98" s="48" t="s">
        <v>129</v>
      </c>
      <c r="E98" s="17"/>
      <c r="F98" s="17"/>
      <c r="G98" s="10"/>
      <c r="H98" s="10"/>
      <c r="I98" s="10"/>
      <c r="J98" s="18">
        <f t="shared" si="3"/>
        <v>0</v>
      </c>
      <c r="K98" s="239"/>
      <c r="L98" s="239"/>
      <c r="M98" s="241"/>
      <c r="N98" s="239"/>
      <c r="O98" s="32"/>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 customHeight="1" x14ac:dyDescent="0.25">
      <c r="A99" s="10"/>
      <c r="B99" s="240"/>
      <c r="C99" s="81"/>
      <c r="D99" s="48" t="s">
        <v>130</v>
      </c>
      <c r="E99" s="17"/>
      <c r="F99" s="17"/>
      <c r="G99" s="10"/>
      <c r="H99" s="10"/>
      <c r="I99" s="10"/>
      <c r="J99" s="18">
        <f t="shared" si="3"/>
        <v>0</v>
      </c>
      <c r="K99" s="239"/>
      <c r="L99" s="239"/>
      <c r="M99" s="241"/>
      <c r="N99" s="239"/>
      <c r="O99" s="32"/>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 customHeight="1" x14ac:dyDescent="0.25">
      <c r="A100" s="10"/>
      <c r="B100" s="232"/>
      <c r="C100" s="82"/>
      <c r="D100" s="48" t="s">
        <v>131</v>
      </c>
      <c r="E100" s="17"/>
      <c r="F100" s="17"/>
      <c r="G100" s="10"/>
      <c r="H100" s="10"/>
      <c r="I100" s="10"/>
      <c r="J100" s="18">
        <f t="shared" si="3"/>
        <v>0</v>
      </c>
      <c r="K100" s="228"/>
      <c r="L100" s="228"/>
      <c r="M100" s="234"/>
      <c r="N100" s="228"/>
      <c r="O100" s="32"/>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 customHeight="1" x14ac:dyDescent="0.25">
      <c r="A101" s="10"/>
      <c r="B101" s="231" t="s">
        <v>132</v>
      </c>
      <c r="C101" s="49" t="s">
        <v>133</v>
      </c>
      <c r="D101" s="47" t="s">
        <v>134</v>
      </c>
      <c r="E101" s="17"/>
      <c r="F101" s="17"/>
      <c r="G101" s="10"/>
      <c r="H101" s="10"/>
      <c r="I101" s="10"/>
      <c r="J101" s="18">
        <f t="shared" si="3"/>
        <v>0</v>
      </c>
      <c r="K101" s="227">
        <f>+J102+J101</f>
        <v>0</v>
      </c>
      <c r="L101" s="227">
        <f>SUM(F101:F102)</f>
        <v>0</v>
      </c>
      <c r="M101" s="233">
        <v>1</v>
      </c>
      <c r="N101" s="227">
        <f>+M101*K101</f>
        <v>0</v>
      </c>
      <c r="O101" s="32"/>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 customHeight="1" x14ac:dyDescent="0.25">
      <c r="A102" s="10"/>
      <c r="B102" s="232"/>
      <c r="C102" s="82"/>
      <c r="D102" s="47" t="s">
        <v>135</v>
      </c>
      <c r="E102" s="17"/>
      <c r="F102" s="17"/>
      <c r="G102" s="10"/>
      <c r="H102" s="10"/>
      <c r="I102" s="10"/>
      <c r="J102" s="18">
        <f t="shared" si="3"/>
        <v>0</v>
      </c>
      <c r="K102" s="228"/>
      <c r="L102" s="228"/>
      <c r="M102" s="234"/>
      <c r="N102" s="228"/>
      <c r="O102" s="32"/>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 customHeight="1" x14ac:dyDescent="0.25">
      <c r="A103" s="10"/>
      <c r="B103" s="231" t="s">
        <v>136</v>
      </c>
      <c r="C103" s="49" t="s">
        <v>137</v>
      </c>
      <c r="D103" s="47" t="s">
        <v>138</v>
      </c>
      <c r="E103" s="17"/>
      <c r="F103" s="17"/>
      <c r="G103" s="10"/>
      <c r="H103" s="10"/>
      <c r="I103" s="10"/>
      <c r="J103" s="18">
        <f t="shared" si="3"/>
        <v>0</v>
      </c>
      <c r="K103" s="227">
        <f>+J104+J103</f>
        <v>0</v>
      </c>
      <c r="L103" s="227">
        <f>SUM(F103:F104)</f>
        <v>0</v>
      </c>
      <c r="M103" s="233">
        <v>1</v>
      </c>
      <c r="N103" s="227">
        <f>+M103*K103</f>
        <v>0</v>
      </c>
      <c r="O103" s="32"/>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 customHeight="1" x14ac:dyDescent="0.25">
      <c r="A104" s="10"/>
      <c r="B104" s="232"/>
      <c r="C104" s="82"/>
      <c r="D104" s="47" t="s">
        <v>139</v>
      </c>
      <c r="E104" s="17"/>
      <c r="F104" s="17"/>
      <c r="G104" s="10"/>
      <c r="H104" s="10"/>
      <c r="I104" s="10"/>
      <c r="J104" s="18">
        <f t="shared" si="3"/>
        <v>0</v>
      </c>
      <c r="K104" s="228"/>
      <c r="L104" s="228"/>
      <c r="M104" s="234"/>
      <c r="N104" s="228"/>
      <c r="O104" s="32"/>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 customHeight="1" x14ac:dyDescent="0.25">
      <c r="A105" s="10"/>
      <c r="B105" s="231" t="s">
        <v>140</v>
      </c>
      <c r="C105" s="49" t="s">
        <v>141</v>
      </c>
      <c r="D105" s="48" t="s">
        <v>142</v>
      </c>
      <c r="E105" s="17"/>
      <c r="F105" s="17"/>
      <c r="G105" s="10"/>
      <c r="H105" s="10"/>
      <c r="I105" s="10"/>
      <c r="J105" s="18">
        <f t="shared" si="3"/>
        <v>0</v>
      </c>
      <c r="K105" s="227">
        <f>+J106+J105</f>
        <v>0</v>
      </c>
      <c r="L105" s="227">
        <f>SUM(F105:F106)</f>
        <v>0</v>
      </c>
      <c r="M105" s="229">
        <f>2/3</f>
        <v>0.66666666666666663</v>
      </c>
      <c r="N105" s="227">
        <f>+M105*K105</f>
        <v>0</v>
      </c>
      <c r="O105" s="32"/>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 customHeight="1" x14ac:dyDescent="0.25">
      <c r="A106" s="10"/>
      <c r="B106" s="232"/>
      <c r="C106" s="82"/>
      <c r="D106" s="48" t="s">
        <v>143</v>
      </c>
      <c r="E106" s="17"/>
      <c r="F106" s="17"/>
      <c r="G106" s="10"/>
      <c r="H106" s="10"/>
      <c r="I106" s="10"/>
      <c r="J106" s="18">
        <f t="shared" si="3"/>
        <v>0</v>
      </c>
      <c r="K106" s="228"/>
      <c r="L106" s="228"/>
      <c r="M106" s="230"/>
      <c r="N106" s="228"/>
      <c r="O106" s="32"/>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 customHeight="1" x14ac:dyDescent="0.25">
      <c r="A107" s="10"/>
      <c r="B107" s="231" t="s">
        <v>144</v>
      </c>
      <c r="C107" s="49" t="s">
        <v>145</v>
      </c>
      <c r="D107" s="47" t="s">
        <v>146</v>
      </c>
      <c r="E107" s="17"/>
      <c r="F107" s="17"/>
      <c r="G107" s="10" t="s">
        <v>147</v>
      </c>
      <c r="H107" s="179"/>
      <c r="I107" s="10"/>
      <c r="J107" s="18">
        <f t="shared" si="3"/>
        <v>0</v>
      </c>
      <c r="K107" s="227">
        <f>+J108+J107</f>
        <v>0</v>
      </c>
      <c r="L107" s="227">
        <f>SUM(F107:F108)</f>
        <v>0</v>
      </c>
      <c r="M107" s="229">
        <v>1</v>
      </c>
      <c r="N107" s="227">
        <f>+M107*K107</f>
        <v>0</v>
      </c>
      <c r="O107" s="32"/>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1.25" customHeight="1" x14ac:dyDescent="0.25">
      <c r="A108" s="10"/>
      <c r="B108" s="232"/>
      <c r="C108" s="82"/>
      <c r="D108" s="47" t="s">
        <v>148</v>
      </c>
      <c r="E108" s="17"/>
      <c r="F108" s="17"/>
      <c r="G108" s="179" t="s">
        <v>149</v>
      </c>
      <c r="H108" s="10"/>
      <c r="I108" s="10"/>
      <c r="J108" s="18">
        <f t="shared" si="3"/>
        <v>0</v>
      </c>
      <c r="K108" s="228"/>
      <c r="L108" s="228"/>
      <c r="M108" s="230"/>
      <c r="N108" s="228"/>
      <c r="O108" s="32"/>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 customHeight="1" x14ac:dyDescent="0.25">
      <c r="A109" s="10"/>
      <c r="B109" s="231" t="s">
        <v>150</v>
      </c>
      <c r="C109" s="49" t="s">
        <v>151</v>
      </c>
      <c r="D109" s="48" t="s">
        <v>152</v>
      </c>
      <c r="E109" s="17"/>
      <c r="F109" s="17"/>
      <c r="G109" s="10"/>
      <c r="H109" s="10"/>
      <c r="I109" s="10"/>
      <c r="J109" s="18">
        <f t="shared" si="3"/>
        <v>0</v>
      </c>
      <c r="K109" s="227">
        <f>+J110+J109</f>
        <v>0</v>
      </c>
      <c r="L109" s="227">
        <f>SUM(F109:F110)</f>
        <v>0</v>
      </c>
      <c r="M109" s="229">
        <f>2/3</f>
        <v>0.66666666666666663</v>
      </c>
      <c r="N109" s="227">
        <f>+M109*K109</f>
        <v>0</v>
      </c>
      <c r="O109" s="32"/>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 customHeight="1" x14ac:dyDescent="0.25">
      <c r="A110" s="10"/>
      <c r="B110" s="232"/>
      <c r="C110" s="82"/>
      <c r="D110" s="48" t="s">
        <v>153</v>
      </c>
      <c r="E110" s="17"/>
      <c r="F110" s="17"/>
      <c r="G110" s="10"/>
      <c r="H110" s="10"/>
      <c r="I110" s="10"/>
      <c r="J110" s="18">
        <f t="shared" si="3"/>
        <v>0</v>
      </c>
      <c r="K110" s="228"/>
      <c r="L110" s="228"/>
      <c r="M110" s="230"/>
      <c r="N110" s="228"/>
      <c r="O110" s="32"/>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 customHeight="1" x14ac:dyDescent="0.25">
      <c r="A111" s="10"/>
      <c r="B111" s="231" t="s">
        <v>154</v>
      </c>
      <c r="C111" s="49" t="s">
        <v>155</v>
      </c>
      <c r="D111" s="48" t="s">
        <v>156</v>
      </c>
      <c r="E111" s="17"/>
      <c r="F111" s="17"/>
      <c r="G111" s="10"/>
      <c r="H111" s="10"/>
      <c r="I111" s="10"/>
      <c r="J111" s="18">
        <f t="shared" si="3"/>
        <v>0</v>
      </c>
      <c r="K111" s="227">
        <f>+J112+J111</f>
        <v>0</v>
      </c>
      <c r="L111" s="227">
        <f>SUM(F111:F112)</f>
        <v>0</v>
      </c>
      <c r="M111" s="233">
        <v>1</v>
      </c>
      <c r="N111" s="227">
        <f>+M111*K111</f>
        <v>0</v>
      </c>
      <c r="O111" s="32"/>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 customHeight="1" x14ac:dyDescent="0.25">
      <c r="A112" s="10"/>
      <c r="B112" s="232"/>
      <c r="C112" s="82"/>
      <c r="D112" s="48" t="s">
        <v>157</v>
      </c>
      <c r="E112" s="17"/>
      <c r="F112" s="17"/>
      <c r="G112" s="10"/>
      <c r="H112" s="10"/>
      <c r="I112" s="10"/>
      <c r="J112" s="18">
        <f t="shared" si="3"/>
        <v>0</v>
      </c>
      <c r="K112" s="228"/>
      <c r="L112" s="228"/>
      <c r="M112" s="234"/>
      <c r="N112" s="228"/>
      <c r="O112" s="32"/>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8.75" customHeight="1" x14ac:dyDescent="0.25">
      <c r="A113" s="10"/>
      <c r="B113" s="86"/>
      <c r="C113" s="86" t="s">
        <v>158</v>
      </c>
      <c r="D113" s="14"/>
      <c r="E113" s="18" t="e">
        <f>N113/F113</f>
        <v>#DIV/0!</v>
      </c>
      <c r="F113" s="18">
        <f>SUM(F81:F112)</f>
        <v>0</v>
      </c>
      <c r="G113" s="10"/>
      <c r="H113" s="10"/>
      <c r="I113" s="10"/>
      <c r="J113" s="10"/>
      <c r="K113" s="10"/>
      <c r="L113" s="155">
        <f>SUM(L81:L112)</f>
        <v>0</v>
      </c>
      <c r="M113" s="15"/>
      <c r="N113" s="155">
        <f>SUM(N81:N112)</f>
        <v>0</v>
      </c>
      <c r="O113" s="32"/>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8.75" customHeight="1" x14ac:dyDescent="0.25">
      <c r="A114" s="10"/>
      <c r="B114" s="86" t="s">
        <v>159</v>
      </c>
      <c r="C114" s="86"/>
      <c r="D114" s="14" t="s">
        <v>160</v>
      </c>
      <c r="E114" s="86" t="s">
        <v>161</v>
      </c>
      <c r="F114" s="18">
        <f>F80+F113</f>
        <v>0</v>
      </c>
      <c r="G114" s="10"/>
      <c r="H114" s="10"/>
      <c r="I114" s="10"/>
      <c r="J114" s="10"/>
      <c r="K114" s="10"/>
      <c r="L114" s="155">
        <f>L113+L80</f>
        <v>0</v>
      </c>
      <c r="M114" s="15" t="s">
        <v>162</v>
      </c>
      <c r="N114" s="155">
        <f>N113+N80</f>
        <v>0</v>
      </c>
      <c r="O114" s="32"/>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x14ac:dyDescent="0.25">
      <c r="A115" s="10"/>
      <c r="B115" s="26"/>
      <c r="C115" s="32"/>
      <c r="D115" s="26"/>
      <c r="E115" s="26"/>
      <c r="F115" s="10"/>
      <c r="G115" s="32"/>
      <c r="H115" s="32"/>
      <c r="I115" s="32"/>
      <c r="J115" s="32"/>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row>
    <row r="116" spans="1:43" x14ac:dyDescent="0.25">
      <c r="A116" s="10"/>
      <c r="B116" s="26"/>
      <c r="C116" s="32" t="s">
        <v>163</v>
      </c>
      <c r="D116" s="96"/>
      <c r="E116" s="126" t="s">
        <v>164</v>
      </c>
      <c r="G116" s="32"/>
      <c r="H116" s="32"/>
      <c r="I116" s="32"/>
      <c r="J116" s="32"/>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row>
    <row r="117" spans="1:43" x14ac:dyDescent="0.25">
      <c r="A117" s="10"/>
      <c r="B117" s="26"/>
      <c r="C117" s="32" t="s">
        <v>165</v>
      </c>
      <c r="D117" s="18">
        <f>+IF(F114=0,0,N114/F114)</f>
        <v>0</v>
      </c>
      <c r="E117" s="112" t="s">
        <v>166</v>
      </c>
      <c r="G117" s="32"/>
      <c r="H117" s="32"/>
      <c r="I117" s="32"/>
      <c r="J117" s="32"/>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43" x14ac:dyDescent="0.25">
      <c r="A118" s="10"/>
      <c r="B118" s="26"/>
      <c r="C118" s="32" t="s">
        <v>167</v>
      </c>
      <c r="D118" s="18">
        <f>+IF(F114=0,0,D116/F114)</f>
        <v>0</v>
      </c>
      <c r="E118" s="127" t="s">
        <v>168</v>
      </c>
      <c r="G118" s="32"/>
      <c r="H118" s="32"/>
      <c r="I118" s="32"/>
      <c r="J118" s="32"/>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row>
    <row r="119" spans="1:43" x14ac:dyDescent="0.25">
      <c r="A119" s="10"/>
      <c r="B119" s="26"/>
      <c r="C119" s="32" t="s">
        <v>169</v>
      </c>
      <c r="D119" s="18">
        <f>+IF(D118&lt;1.0001,D117*100,IF(AND(D118&gt;1,D118&lt;4),D117*300/(D118+2),IF(D118&gt;3.99999,D117*50,"ERREUR")))</f>
        <v>0</v>
      </c>
      <c r="E119" s="26"/>
      <c r="F119" s="10"/>
      <c r="G119" s="32"/>
      <c r="H119" s="32"/>
      <c r="I119" s="32"/>
      <c r="J119" s="32"/>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row>
    <row r="120" spans="1:43" x14ac:dyDescent="0.25">
      <c r="A120" s="10"/>
      <c r="B120" s="26"/>
      <c r="C120" s="32" t="s">
        <v>170</v>
      </c>
      <c r="D120" s="17" t="s">
        <v>171</v>
      </c>
      <c r="E120" s="26"/>
      <c r="F120" s="10"/>
      <c r="G120" s="32"/>
      <c r="H120" s="32"/>
      <c r="I120" s="32"/>
      <c r="J120" s="32"/>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row>
    <row r="121" spans="1:43" x14ac:dyDescent="0.25">
      <c r="A121" s="10"/>
      <c r="B121" s="26"/>
      <c r="C121" s="32" t="s">
        <v>172</v>
      </c>
      <c r="D121" s="18">
        <f>VLOOKUP(D120,Données!A54:B55,2,0)</f>
        <v>3</v>
      </c>
      <c r="E121" s="26"/>
      <c r="F121" s="10"/>
      <c r="G121" s="32"/>
      <c r="H121" s="32"/>
      <c r="I121" s="32"/>
      <c r="J121" s="32"/>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row>
    <row r="122" spans="1:43" x14ac:dyDescent="0.25">
      <c r="A122" s="10"/>
      <c r="B122" s="26"/>
      <c r="C122" s="32" t="s">
        <v>173</v>
      </c>
      <c r="D122" s="18">
        <f>D119+D121</f>
        <v>3</v>
      </c>
      <c r="E122" s="26"/>
      <c r="F122" s="10"/>
      <c r="G122" s="32"/>
      <c r="H122" s="32"/>
      <c r="I122" s="32"/>
      <c r="J122" s="32"/>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row>
    <row r="123" spans="1:43" x14ac:dyDescent="0.25">
      <c r="A123" s="10"/>
      <c r="B123" s="26"/>
      <c r="C123" s="32" t="s">
        <v>174</v>
      </c>
      <c r="D123" s="18">
        <f>+IF(D118&lt;1.0001,D122/100,IF(AND(D118&gt;1,D118&lt;4),D122/300*(D118+2),IF(D118&gt;3.99999,D122/50,"ERREUR")))</f>
        <v>0.03</v>
      </c>
      <c r="E123" s="112" t="s">
        <v>166</v>
      </c>
      <c r="F123" s="10"/>
      <c r="G123" s="32"/>
      <c r="H123" s="32"/>
      <c r="I123" s="32"/>
      <c r="J123" s="32"/>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row>
    <row r="124" spans="1:43" x14ac:dyDescent="0.25">
      <c r="A124" s="10"/>
      <c r="B124" s="26"/>
      <c r="C124" s="32" t="s">
        <v>175</v>
      </c>
      <c r="D124" s="155">
        <f>D123*F114</f>
        <v>0</v>
      </c>
      <c r="E124" s="112" t="s">
        <v>176</v>
      </c>
      <c r="F124" s="10"/>
      <c r="G124" s="32"/>
      <c r="H124" s="32"/>
      <c r="I124" s="32"/>
      <c r="J124" s="32"/>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row>
    <row r="125" spans="1:43" ht="13.15" customHeight="1" x14ac:dyDescent="0.25">
      <c r="A125" s="10"/>
      <c r="B125" s="32"/>
      <c r="C125" s="32" t="s">
        <v>177</v>
      </c>
      <c r="D125" s="155" t="e">
        <f>D124*(Temp_SI-Temp_ext)*duree_chauf*24/1000</f>
        <v>#DIV/0!</v>
      </c>
      <c r="E125" s="112" t="s">
        <v>178</v>
      </c>
      <c r="F125" s="32"/>
      <c r="G125" s="32"/>
      <c r="H125" s="32"/>
      <c r="I125" s="32"/>
      <c r="J125" s="32"/>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row>
    <row r="126" spans="1:43" ht="13.15" customHeight="1" x14ac:dyDescent="0.25">
      <c r="A126" s="10"/>
      <c r="B126" s="32"/>
      <c r="C126" s="32" t="s">
        <v>179</v>
      </c>
      <c r="D126" s="156" t="e">
        <f>(D124-N114)*(Temp_SI-Temp_ext)*duree_chauf*24/1000</f>
        <v>#DIV/0!</v>
      </c>
      <c r="E126" s="112" t="s">
        <v>178</v>
      </c>
      <c r="F126" s="32"/>
      <c r="G126" s="32"/>
      <c r="H126" s="32"/>
      <c r="I126" s="32"/>
      <c r="J126" s="32"/>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row>
    <row r="127" spans="1:43" x14ac:dyDescent="0.25">
      <c r="A127" s="10"/>
      <c r="B127" s="32"/>
      <c r="C127" s="32"/>
      <c r="D127" s="32"/>
      <c r="E127" s="32"/>
      <c r="F127" s="32"/>
      <c r="G127" s="32"/>
      <c r="H127" s="32"/>
      <c r="I127" s="32"/>
      <c r="J127" s="32"/>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row>
    <row r="128" spans="1:43" ht="18" customHeight="1" x14ac:dyDescent="0.35">
      <c r="A128" s="10"/>
      <c r="B128" s="24" t="s">
        <v>180</v>
      </c>
      <c r="C128" s="24" t="s">
        <v>181</v>
      </c>
      <c r="D128" s="32"/>
      <c r="E128" s="26"/>
      <c r="F128" s="26"/>
      <c r="G128" s="10"/>
      <c r="H128" s="97"/>
      <c r="I128" s="26"/>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row>
    <row r="129" spans="1:38" ht="12" customHeight="1" x14ac:dyDescent="0.25">
      <c r="A129" s="10"/>
      <c r="B129" s="32"/>
      <c r="C129" s="32"/>
      <c r="D129" s="32"/>
      <c r="E129" s="26"/>
      <c r="F129" s="26"/>
      <c r="G129" s="10"/>
      <c r="H129" s="128"/>
      <c r="I129" s="26"/>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row>
    <row r="130" spans="1:38" ht="12" customHeight="1" x14ac:dyDescent="0.25">
      <c r="A130" s="10"/>
      <c r="B130" s="32"/>
      <c r="C130" s="32"/>
      <c r="D130" s="32"/>
      <c r="E130" s="32"/>
      <c r="F130" s="32"/>
      <c r="G130" s="32"/>
      <c r="H130" s="32"/>
      <c r="I130" s="32"/>
      <c r="J130" s="32"/>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row>
    <row r="131" spans="1:38" ht="12" customHeight="1" x14ac:dyDescent="0.25">
      <c r="A131" s="10"/>
      <c r="B131" s="222" t="s">
        <v>59</v>
      </c>
      <c r="C131" s="41" t="s">
        <v>182</v>
      </c>
      <c r="D131" s="25"/>
      <c r="E131" s="32"/>
      <c r="J131" s="32"/>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row>
    <row r="132" spans="1:38" ht="12" customHeight="1" x14ac:dyDescent="0.25">
      <c r="A132" s="10"/>
      <c r="B132" s="223"/>
      <c r="C132" s="32" t="s">
        <v>183</v>
      </c>
      <c r="D132" s="130" t="str">
        <f>D9</f>
        <v>Namur</v>
      </c>
      <c r="E132" s="32"/>
      <c r="F132" s="129"/>
      <c r="H132" s="99"/>
      <c r="I132" s="99"/>
      <c r="J132" s="32"/>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row>
    <row r="133" spans="1:38" ht="12" customHeight="1" x14ac:dyDescent="0.25">
      <c r="A133" s="10"/>
      <c r="B133" s="223"/>
      <c r="C133" s="32" t="s">
        <v>185</v>
      </c>
      <c r="D133" s="130">
        <f>VLOOKUP(D9,'Liste des communes'!$A$2:$C$2791,3,0)</f>
        <v>-9</v>
      </c>
      <c r="E133" s="32" t="s">
        <v>186</v>
      </c>
      <c r="F133" s="129"/>
      <c r="H133" s="131"/>
      <c r="I133" s="131"/>
      <c r="J133" s="32"/>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row>
    <row r="134" spans="1:38" ht="12" customHeight="1" x14ac:dyDescent="0.25">
      <c r="A134" s="10"/>
      <c r="B134" s="223"/>
      <c r="C134" s="32" t="s">
        <v>187</v>
      </c>
      <c r="D134" s="51">
        <f>VLOOKUP(D9,'Liste des communes'!$A$2:$C$2791,2,0)</f>
        <v>2281.0909999999999</v>
      </c>
      <c r="E134" s="32"/>
      <c r="F134" s="129"/>
      <c r="H134" s="131"/>
      <c r="I134" s="131"/>
      <c r="J134" s="32"/>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row>
    <row r="135" spans="1:38" ht="12" customHeight="1" x14ac:dyDescent="0.25">
      <c r="A135" s="10"/>
      <c r="B135" s="224"/>
      <c r="C135" s="32" t="s">
        <v>188</v>
      </c>
      <c r="D135" s="132">
        <f>15-D134/D136</f>
        <v>5.5740041322314049</v>
      </c>
      <c r="E135" s="32" t="s">
        <v>186</v>
      </c>
      <c r="F135" s="129"/>
      <c r="H135" s="99"/>
      <c r="I135" s="99"/>
      <c r="J135" s="32"/>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row>
    <row r="136" spans="1:38" ht="12" customHeight="1" x14ac:dyDescent="0.25">
      <c r="A136" s="10"/>
      <c r="B136" s="225"/>
      <c r="C136" s="32" t="s">
        <v>189</v>
      </c>
      <c r="D136" s="130">
        <v>242</v>
      </c>
      <c r="E136" s="32" t="s">
        <v>190</v>
      </c>
      <c r="F136" s="10"/>
      <c r="G136" s="99"/>
      <c r="H136" s="99"/>
      <c r="I136" s="99"/>
      <c r="J136" s="32"/>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row>
    <row r="137" spans="1:38" ht="12" customHeight="1" x14ac:dyDescent="0.25">
      <c r="A137" s="10"/>
      <c r="B137" s="10"/>
      <c r="C137" s="10"/>
      <c r="D137" s="10"/>
      <c r="E137" s="10"/>
      <c r="F137" s="10"/>
      <c r="G137" s="10"/>
      <c r="H137" s="10"/>
      <c r="I137" s="10"/>
      <c r="J137" s="10"/>
      <c r="L137" s="10"/>
      <c r="M137" s="10"/>
      <c r="N137" s="10"/>
      <c r="R137" s="10"/>
      <c r="S137" s="10"/>
      <c r="T137" s="10"/>
      <c r="U137" s="10"/>
      <c r="V137" s="10"/>
      <c r="W137" s="10"/>
      <c r="X137" s="10"/>
      <c r="Y137" s="10"/>
      <c r="Z137" s="10"/>
      <c r="AA137" s="10"/>
      <c r="AB137" s="10"/>
      <c r="AC137" s="10"/>
      <c r="AD137" s="10"/>
      <c r="AE137" s="10"/>
      <c r="AF137" s="10"/>
      <c r="AG137" s="10"/>
      <c r="AH137" s="10"/>
      <c r="AI137" s="10"/>
      <c r="AJ137" s="10"/>
      <c r="AK137" s="10"/>
      <c r="AL137" s="10"/>
    </row>
    <row r="138" spans="1:38" ht="12" customHeight="1" x14ac:dyDescent="0.25">
      <c r="A138" s="10"/>
      <c r="B138" s="10"/>
      <c r="C138" s="10"/>
      <c r="D138" s="10"/>
      <c r="E138" s="10"/>
      <c r="F138" s="10"/>
      <c r="G138" s="10"/>
      <c r="H138" s="10"/>
      <c r="I138" s="10"/>
      <c r="J138" s="10"/>
      <c r="L138" s="10"/>
      <c r="M138" s="10"/>
      <c r="N138" s="10"/>
      <c r="R138" s="10"/>
      <c r="S138" s="10"/>
      <c r="T138" s="10"/>
      <c r="U138" s="10"/>
      <c r="V138" s="10"/>
      <c r="W138" s="10"/>
      <c r="X138" s="10"/>
      <c r="Y138" s="10"/>
      <c r="Z138" s="10"/>
      <c r="AA138" s="10"/>
      <c r="AB138" s="10"/>
      <c r="AC138" s="10"/>
      <c r="AD138" s="10"/>
      <c r="AE138" s="10"/>
      <c r="AF138" s="10"/>
      <c r="AG138" s="10"/>
      <c r="AH138" s="10"/>
      <c r="AI138" s="10"/>
      <c r="AJ138" s="10"/>
      <c r="AK138" s="10"/>
      <c r="AL138" s="10"/>
    </row>
    <row r="139" spans="1:38" ht="13.5" customHeight="1" x14ac:dyDescent="0.25">
      <c r="A139" s="10"/>
      <c r="B139" s="222" t="s">
        <v>102</v>
      </c>
      <c r="C139" s="41" t="s">
        <v>191</v>
      </c>
      <c r="D139" s="10"/>
      <c r="E139" s="10"/>
      <c r="I139" s="10"/>
      <c r="J139" s="10"/>
      <c r="K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row>
    <row r="140" spans="1:38" ht="13.5" customHeight="1" x14ac:dyDescent="0.25">
      <c r="A140" s="10"/>
      <c r="B140" s="223"/>
      <c r="C140" s="26"/>
      <c r="D140" s="10"/>
      <c r="E140" s="10"/>
      <c r="F140" s="46" t="s">
        <v>192</v>
      </c>
      <c r="G140" s="43" t="s">
        <v>193</v>
      </c>
      <c r="H140" s="46" t="s">
        <v>194</v>
      </c>
      <c r="I140" s="46" t="s">
        <v>195</v>
      </c>
      <c r="J140" s="10"/>
      <c r="K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row>
    <row r="141" spans="1:38" ht="13.5" customHeight="1" x14ac:dyDescent="0.25">
      <c r="A141" s="10"/>
      <c r="B141" s="224"/>
      <c r="C141" s="32" t="s">
        <v>196</v>
      </c>
      <c r="D141" s="16">
        <v>8</v>
      </c>
      <c r="E141" s="32" t="s">
        <v>197</v>
      </c>
      <c r="F141" s="133">
        <v>12</v>
      </c>
      <c r="G141" s="133">
        <v>8</v>
      </c>
      <c r="H141" s="133">
        <v>3</v>
      </c>
      <c r="I141" s="133">
        <v>1</v>
      </c>
      <c r="J141" s="10"/>
      <c r="K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row>
    <row r="142" spans="1:38" ht="13.5" customHeight="1" x14ac:dyDescent="0.25">
      <c r="A142" s="10"/>
      <c r="B142" s="224"/>
      <c r="C142" s="32" t="s">
        <v>198</v>
      </c>
      <c r="D142" s="155">
        <f>0.75*D116</f>
        <v>0</v>
      </c>
      <c r="E142" s="32" t="s">
        <v>164</v>
      </c>
      <c r="F142" s="99"/>
      <c r="G142" s="134"/>
      <c r="H142" s="134"/>
      <c r="I142" s="10"/>
      <c r="J142" s="10"/>
      <c r="K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row>
    <row r="143" spans="1:38" ht="13.5" customHeight="1" x14ac:dyDescent="0.25">
      <c r="A143" s="10"/>
      <c r="B143" s="224"/>
      <c r="C143" s="32" t="s">
        <v>199</v>
      </c>
      <c r="D143" s="52" t="e">
        <f>D141/D118*D116/D142</f>
        <v>#DIV/0!</v>
      </c>
      <c r="E143" s="32" t="s">
        <v>200</v>
      </c>
      <c r="F143" s="99"/>
      <c r="G143" s="134"/>
      <c r="H143" s="134"/>
      <c r="I143" s="10"/>
      <c r="J143" s="10"/>
      <c r="K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row>
    <row r="144" spans="1:38" ht="13.5" customHeight="1" x14ac:dyDescent="0.25">
      <c r="A144" s="10"/>
      <c r="B144" s="224"/>
      <c r="C144" s="32" t="s">
        <v>201</v>
      </c>
      <c r="D144" s="52" t="e">
        <f>D143*0.04</f>
        <v>#DIV/0!</v>
      </c>
      <c r="E144" s="32" t="s">
        <v>202</v>
      </c>
      <c r="F144" s="99"/>
      <c r="G144" s="134"/>
      <c r="H144" s="134"/>
      <c r="I144" s="10"/>
      <c r="J144" s="10"/>
      <c r="K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row>
    <row r="145" spans="1:38" ht="13.5" customHeight="1" x14ac:dyDescent="0.25">
      <c r="A145" s="10"/>
      <c r="B145" s="224"/>
      <c r="C145" s="32" t="s">
        <v>203</v>
      </c>
      <c r="D145" s="52" t="e">
        <f>D144*2.5</f>
        <v>#DIV/0!</v>
      </c>
      <c r="E145" s="32" t="s">
        <v>202</v>
      </c>
      <c r="F145" s="99"/>
      <c r="G145" s="134"/>
      <c r="H145" s="134"/>
      <c r="I145" s="10"/>
      <c r="J145" s="10"/>
      <c r="K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row>
    <row r="146" spans="1:38" ht="13.5" customHeight="1" x14ac:dyDescent="0.25">
      <c r="A146" s="10"/>
      <c r="B146" s="224"/>
      <c r="C146" s="32" t="s">
        <v>204</v>
      </c>
      <c r="D146" s="155" t="e">
        <f>0.34*(D184-Temp_ext)*D144*D142*duree_chauf*24/1000</f>
        <v>#DIV/0!</v>
      </c>
      <c r="E146" s="32" t="s">
        <v>178</v>
      </c>
      <c r="F146" s="99"/>
      <c r="G146" s="134"/>
      <c r="H146" s="134"/>
      <c r="I146" s="10"/>
      <c r="J146" s="10"/>
      <c r="K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row>
    <row r="147" spans="1:38" ht="13.5" customHeight="1" x14ac:dyDescent="0.25">
      <c r="A147" s="10"/>
      <c r="B147" s="224"/>
      <c r="C147" s="32"/>
      <c r="D147" s="10"/>
      <c r="E147" s="32"/>
      <c r="F147" s="99"/>
      <c r="G147" s="134"/>
      <c r="H147" s="134"/>
      <c r="I147" s="10"/>
      <c r="J147" s="10"/>
      <c r="K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row>
    <row r="148" spans="1:38" ht="13.5" customHeight="1" x14ac:dyDescent="0.25">
      <c r="A148" s="10"/>
      <c r="B148" s="224"/>
      <c r="C148" s="41" t="s">
        <v>205</v>
      </c>
      <c r="D148" s="10"/>
      <c r="E148" s="10"/>
      <c r="I148" s="10"/>
      <c r="J148" s="10"/>
      <c r="K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row>
    <row r="149" spans="1:38" ht="13.5" customHeight="1" x14ac:dyDescent="0.25">
      <c r="A149" s="10"/>
      <c r="B149" s="224"/>
      <c r="C149" s="32"/>
      <c r="D149" s="99"/>
      <c r="E149" s="32"/>
      <c r="F149" s="99"/>
      <c r="G149" s="134"/>
      <c r="H149" s="134"/>
      <c r="I149" s="10"/>
      <c r="J149" s="10"/>
      <c r="K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row>
    <row r="150" spans="1:38" ht="13.5" customHeight="1" x14ac:dyDescent="0.25">
      <c r="A150" s="10"/>
      <c r="B150" s="224"/>
      <c r="C150" s="32" t="s">
        <v>206</v>
      </c>
      <c r="D150" s="16">
        <f>600/20*2</f>
        <v>60</v>
      </c>
      <c r="E150" s="32"/>
      <c r="F150" s="99"/>
      <c r="G150" s="134"/>
      <c r="H150" s="134"/>
      <c r="I150" s="10"/>
      <c r="J150" s="10"/>
      <c r="K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row>
    <row r="151" spans="1:38" ht="13.5" customHeight="1" x14ac:dyDescent="0.25">
      <c r="A151" s="10"/>
      <c r="B151" s="224"/>
      <c r="C151" s="32" t="s">
        <v>207</v>
      </c>
      <c r="D151" s="51">
        <f>D150*30</f>
        <v>1800</v>
      </c>
      <c r="E151" s="32" t="s">
        <v>208</v>
      </c>
      <c r="F151" s="99"/>
      <c r="G151" s="134"/>
      <c r="H151" s="134"/>
      <c r="I151" s="10"/>
      <c r="J151" s="10"/>
      <c r="K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row>
    <row r="152" spans="1:38" ht="13.5" customHeight="1" x14ac:dyDescent="0.25">
      <c r="A152" s="10"/>
      <c r="B152" s="224"/>
      <c r="C152" s="32" t="s">
        <v>209</v>
      </c>
      <c r="F152" s="99"/>
      <c r="G152" s="16"/>
      <c r="H152" s="32" t="s">
        <v>208</v>
      </c>
      <c r="I152" s="10"/>
      <c r="J152" s="10"/>
      <c r="K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row>
    <row r="153" spans="1:38" ht="13.5" customHeight="1" x14ac:dyDescent="0.25">
      <c r="A153" s="10"/>
      <c r="B153" s="224"/>
      <c r="C153" s="32" t="s">
        <v>210</v>
      </c>
      <c r="E153" s="32"/>
      <c r="F153" s="99"/>
      <c r="G153" s="16"/>
      <c r="H153" s="53" t="s">
        <v>211</v>
      </c>
      <c r="I153" s="10"/>
      <c r="J153" s="10"/>
      <c r="K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row>
    <row r="154" spans="1:38" ht="13.5" customHeight="1" x14ac:dyDescent="0.25">
      <c r="A154" s="10"/>
      <c r="B154" s="224"/>
      <c r="C154" s="32"/>
      <c r="D154" s="99"/>
      <c r="E154" s="32"/>
      <c r="F154" s="99"/>
      <c r="G154" s="134"/>
      <c r="H154" s="134"/>
      <c r="I154" s="10"/>
      <c r="J154" s="10"/>
      <c r="K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row>
    <row r="155" spans="1:38" ht="13.5" customHeight="1" x14ac:dyDescent="0.25">
      <c r="A155" s="10"/>
      <c r="B155" s="224"/>
      <c r="C155" s="32" t="s">
        <v>212</v>
      </c>
      <c r="D155" s="32" t="s">
        <v>213</v>
      </c>
      <c r="E155" s="32" t="s">
        <v>214</v>
      </c>
      <c r="G155" s="134"/>
      <c r="H155" s="134"/>
      <c r="I155" s="10"/>
      <c r="J155" s="10"/>
      <c r="K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row>
    <row r="156" spans="1:38" ht="13.5" customHeight="1" x14ac:dyDescent="0.25">
      <c r="A156" s="10"/>
      <c r="B156" s="224"/>
      <c r="C156" s="32"/>
      <c r="D156" s="16"/>
      <c r="E156" s="16"/>
      <c r="G156" s="134"/>
      <c r="H156" s="134"/>
      <c r="I156" s="10"/>
      <c r="J156" s="10"/>
      <c r="K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row>
    <row r="157" spans="1:38" ht="13.5" customHeight="1" x14ac:dyDescent="0.25">
      <c r="A157" s="10"/>
      <c r="B157" s="224"/>
      <c r="C157" s="32"/>
      <c r="D157" s="16"/>
      <c r="E157" s="16"/>
      <c r="G157" s="134"/>
      <c r="H157" s="134"/>
      <c r="I157" s="10"/>
      <c r="J157" s="10"/>
      <c r="K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row>
    <row r="158" spans="1:38" ht="13.5" customHeight="1" x14ac:dyDescent="0.25">
      <c r="A158" s="10"/>
      <c r="B158" s="224"/>
      <c r="C158" s="32"/>
      <c r="D158" s="16"/>
      <c r="E158" s="16"/>
      <c r="G158" s="134"/>
      <c r="H158" s="134"/>
      <c r="I158" s="10"/>
      <c r="J158" s="10"/>
      <c r="K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row>
    <row r="159" spans="1:38" ht="13.5" customHeight="1" x14ac:dyDescent="0.25">
      <c r="A159" s="10"/>
      <c r="B159" s="224"/>
      <c r="C159" s="32"/>
      <c r="D159" s="16"/>
      <c r="E159" s="16"/>
      <c r="G159" s="134"/>
      <c r="H159" s="134"/>
      <c r="I159" s="10"/>
      <c r="J159" s="10"/>
      <c r="K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row>
    <row r="160" spans="1:38" ht="13.5" customHeight="1" x14ac:dyDescent="0.25">
      <c r="A160" s="10"/>
      <c r="B160" s="224"/>
      <c r="C160" s="32"/>
      <c r="G160" s="134"/>
      <c r="H160" s="134"/>
      <c r="I160" s="10"/>
      <c r="J160" s="10"/>
      <c r="K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row>
    <row r="161" spans="1:38" ht="13.5" customHeight="1" x14ac:dyDescent="0.25">
      <c r="A161" s="10"/>
      <c r="B161" s="224"/>
      <c r="C161" s="32" t="s">
        <v>215</v>
      </c>
      <c r="D161" s="16"/>
      <c r="E161" s="32" t="s">
        <v>216</v>
      </c>
      <c r="G161" s="134"/>
      <c r="H161" s="134"/>
      <c r="I161" s="10"/>
      <c r="J161" s="10"/>
      <c r="K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row>
    <row r="162" spans="1:38" ht="13.5" customHeight="1" x14ac:dyDescent="0.25">
      <c r="A162" s="10"/>
      <c r="B162" s="224"/>
      <c r="C162" s="32" t="s">
        <v>217</v>
      </c>
      <c r="D162" s="51">
        <f>SUMPRODUCT(D156:D159,E156:E159)*30/24*D161/7</f>
        <v>0</v>
      </c>
      <c r="E162" s="32" t="s">
        <v>208</v>
      </c>
      <c r="G162" s="51">
        <f>G152*G153/24*D161/7</f>
        <v>0</v>
      </c>
      <c r="H162" s="32" t="s">
        <v>208</v>
      </c>
      <c r="I162" s="10"/>
      <c r="J162" s="10"/>
      <c r="K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row>
    <row r="163" spans="1:38" ht="13.5" customHeight="1" x14ac:dyDescent="0.25">
      <c r="A163" s="10"/>
      <c r="B163" s="224"/>
      <c r="I163" s="10"/>
      <c r="J163" s="10"/>
      <c r="K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row>
    <row r="164" spans="1:38" ht="13.5" customHeight="1" x14ac:dyDescent="0.35">
      <c r="A164" s="10"/>
      <c r="B164" s="224"/>
      <c r="C164" s="32" t="s">
        <v>218</v>
      </c>
      <c r="D164" s="16" t="s">
        <v>219</v>
      </c>
      <c r="E164" s="32"/>
      <c r="F164" s="83" t="str">
        <f>IF(AND(D164=Données!A112,'Situation initiale'!D141&gt;1),"Vu la présence d'une ventilation double flux, le niveau d'étanchéité à l'air devrait être plus ambitieux (n50  ≤ 1 renouvellement /h)","")</f>
        <v/>
      </c>
      <c r="G164" s="99"/>
      <c r="I164" s="10"/>
      <c r="J164" s="10"/>
      <c r="K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row>
    <row r="165" spans="1:38" ht="13.5" customHeight="1" x14ac:dyDescent="0.35">
      <c r="A165" s="10"/>
      <c r="B165" s="224"/>
      <c r="C165" s="32" t="s">
        <v>220</v>
      </c>
      <c r="D165" s="16">
        <v>0</v>
      </c>
      <c r="E165" s="32" t="s">
        <v>221</v>
      </c>
      <c r="F165" s="83" t="str">
        <f>IF(AND(D164=Données!A112,'Situation initiale'!D165&lt;1),"Le rendement d'un éventuel récupérateur de chaleur devrait être supérieur à 0!","")</f>
        <v/>
      </c>
      <c r="G165" s="53"/>
      <c r="H165" s="134"/>
      <c r="I165" s="10"/>
      <c r="J165" s="10"/>
      <c r="K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row>
    <row r="166" spans="1:38" ht="13.5" customHeight="1" x14ac:dyDescent="0.35">
      <c r="A166" s="10"/>
      <c r="B166" s="224"/>
      <c r="E166" s="32"/>
      <c r="F166" s="83"/>
      <c r="G166" s="53"/>
      <c r="H166" s="134"/>
      <c r="I166" s="10"/>
      <c r="J166" s="10"/>
      <c r="K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row>
    <row r="167" spans="1:38" ht="13.5" customHeight="1" x14ac:dyDescent="0.35">
      <c r="A167" s="10"/>
      <c r="B167" s="224"/>
      <c r="C167" s="32" t="s">
        <v>222</v>
      </c>
      <c r="D167" s="155" t="e">
        <f>0.34*($D$184-$D$135)*(100-D165*0.95)/100*D162*$D$136*24/1000</f>
        <v>#DIV/0!</v>
      </c>
      <c r="E167" s="32" t="s">
        <v>178</v>
      </c>
      <c r="F167" s="83"/>
      <c r="G167" s="155" t="e">
        <f>0.34*($D$184-$D$135)*(100-D165*0.95)/100*G162*$D$136*24/1000</f>
        <v>#DIV/0!</v>
      </c>
      <c r="H167" s="32" t="s">
        <v>178</v>
      </c>
      <c r="I167" s="10"/>
      <c r="J167" s="10"/>
      <c r="K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row>
    <row r="168" spans="1:38" ht="13.5" customHeight="1" x14ac:dyDescent="0.35">
      <c r="A168" s="10"/>
      <c r="B168" s="224"/>
      <c r="C168" s="32" t="s">
        <v>223</v>
      </c>
      <c r="D168" s="51">
        <f>VLOOKUP(D164,Données!A110:B112,2)*0.4*D162*8760/1000</f>
        <v>0</v>
      </c>
      <c r="E168" s="32" t="s">
        <v>178</v>
      </c>
      <c r="F168" s="83"/>
      <c r="G168" s="155">
        <f>VLOOKUP(D164,Données!A110:B112,2)*0.4*G162*8760/1000</f>
        <v>0</v>
      </c>
      <c r="H168" s="32" t="s">
        <v>178</v>
      </c>
      <c r="I168" s="10"/>
      <c r="J168" s="10"/>
      <c r="K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row>
    <row r="169" spans="1:38" ht="13.5" customHeight="1" x14ac:dyDescent="0.25">
      <c r="A169" s="10"/>
      <c r="B169" s="224"/>
      <c r="C169" s="32" t="s">
        <v>223</v>
      </c>
      <c r="D169" s="51">
        <f>D168*cout_elec</f>
        <v>0</v>
      </c>
      <c r="E169" s="32" t="s">
        <v>224</v>
      </c>
      <c r="F169" s="99"/>
      <c r="G169" s="155">
        <f>G168*cout_elec</f>
        <v>0</v>
      </c>
      <c r="H169" s="32" t="s">
        <v>224</v>
      </c>
      <c r="I169" s="10"/>
      <c r="J169" s="10"/>
      <c r="K169" s="10"/>
      <c r="L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row>
    <row r="170" spans="1:38" ht="13.5" customHeight="1" x14ac:dyDescent="0.25">
      <c r="A170" s="10"/>
      <c r="B170" s="224"/>
      <c r="C170" s="32"/>
      <c r="E170" s="32"/>
      <c r="F170" s="99"/>
      <c r="G170" s="134"/>
      <c r="H170" s="134"/>
      <c r="I170" s="10"/>
      <c r="J170" s="10"/>
      <c r="K170" s="10"/>
      <c r="L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row>
    <row r="171" spans="1:38" ht="13.5" customHeight="1" x14ac:dyDescent="0.25">
      <c r="A171" s="10"/>
      <c r="B171" s="224"/>
      <c r="C171" s="41" t="s">
        <v>225</v>
      </c>
      <c r="E171" s="32"/>
      <c r="F171" s="99"/>
      <c r="G171" s="134"/>
      <c r="H171" s="134"/>
      <c r="I171" s="10"/>
      <c r="J171" s="10"/>
      <c r="K171" s="88"/>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row>
    <row r="172" spans="1:38" ht="13.5" customHeight="1" x14ac:dyDescent="0.25">
      <c r="A172" s="10"/>
      <c r="B172" s="224"/>
      <c r="C172" s="32"/>
      <c r="E172" s="32"/>
      <c r="F172" s="42" t="s">
        <v>226</v>
      </c>
      <c r="G172" s="43" t="s">
        <v>227</v>
      </c>
      <c r="H172" s="134"/>
      <c r="I172" s="10"/>
      <c r="J172" s="10"/>
      <c r="K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row>
    <row r="173" spans="1:38" ht="13.5" customHeight="1" x14ac:dyDescent="0.25">
      <c r="A173" s="10"/>
      <c r="B173" s="224"/>
      <c r="C173" s="32" t="s">
        <v>228</v>
      </c>
      <c r="D173" s="16">
        <v>0.3</v>
      </c>
      <c r="E173" s="32" t="s">
        <v>202</v>
      </c>
      <c r="F173" s="43">
        <v>0.3</v>
      </c>
      <c r="G173" s="43">
        <v>1</v>
      </c>
      <c r="H173" s="134"/>
      <c r="I173" s="10"/>
      <c r="J173" s="10"/>
      <c r="K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row>
    <row r="174" spans="1:38" ht="13.5" customHeight="1" x14ac:dyDescent="0.25">
      <c r="A174" s="10"/>
      <c r="B174" s="224"/>
      <c r="C174" s="32" t="s">
        <v>229</v>
      </c>
      <c r="D174" s="52" t="e">
        <f>IF(D165&lt;&gt;0,(100-D165)/100*D151/D142+D145,D145+D151/D142)</f>
        <v>#DIV/0!</v>
      </c>
      <c r="E174" s="32" t="s">
        <v>202</v>
      </c>
      <c r="F174" s="99"/>
      <c r="G174" s="134"/>
      <c r="H174" s="134"/>
      <c r="I174" s="10"/>
      <c r="J174" s="10"/>
      <c r="K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row>
    <row r="175" spans="1:38" ht="13.5" customHeight="1" x14ac:dyDescent="0.25">
      <c r="A175" s="10"/>
      <c r="B175" s="224"/>
      <c r="C175" s="32" t="s">
        <v>230</v>
      </c>
      <c r="D175" s="52" t="e">
        <f>IF(D165&lt;&gt;0,(100-D165*0.95)/100*D162/D142+D144,MAX(D173*D162/D142,D144))</f>
        <v>#DIV/0!</v>
      </c>
      <c r="E175" s="32" t="s">
        <v>202</v>
      </c>
      <c r="F175" s="99"/>
      <c r="G175" s="134"/>
      <c r="H175" s="134"/>
      <c r="I175" s="10"/>
      <c r="J175" s="10"/>
      <c r="K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row>
    <row r="176" spans="1:38" ht="13.5" customHeight="1" x14ac:dyDescent="0.25">
      <c r="A176" s="10"/>
      <c r="B176" s="226"/>
      <c r="C176" s="32" t="s">
        <v>231</v>
      </c>
      <c r="D176" s="155" t="e">
        <f>0.34*($D$184-$D$135)*D142*D175*$D$136*24/1000</f>
        <v>#DIV/0!</v>
      </c>
      <c r="E176" s="10" t="s">
        <v>178</v>
      </c>
      <c r="F176" s="39"/>
      <c r="H176" s="10"/>
      <c r="I176" s="10"/>
      <c r="J176" s="10"/>
      <c r="K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row>
    <row r="177" spans="1:38" ht="13.5" customHeight="1" x14ac:dyDescent="0.25">
      <c r="A177" s="10"/>
      <c r="E177" s="32"/>
      <c r="F177" s="99"/>
      <c r="G177" s="134"/>
      <c r="H177" s="134"/>
      <c r="I177" s="10"/>
      <c r="J177" s="10"/>
      <c r="K177" s="88"/>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row>
    <row r="178" spans="1:38" ht="12" customHeight="1" x14ac:dyDescent="0.25">
      <c r="A178" s="10"/>
      <c r="B178" s="10"/>
      <c r="C178" s="10"/>
      <c r="D178" s="10"/>
      <c r="E178" s="10"/>
      <c r="F178" s="10"/>
      <c r="G178" s="10"/>
      <c r="H178" s="10"/>
      <c r="I178" s="10"/>
      <c r="J178" s="10"/>
      <c r="L178" s="10"/>
      <c r="M178" s="10"/>
      <c r="N178" s="10"/>
      <c r="R178" s="10"/>
      <c r="S178" s="10"/>
      <c r="T178" s="10"/>
      <c r="U178" s="10"/>
      <c r="V178" s="10"/>
      <c r="W178" s="10"/>
      <c r="X178" s="10"/>
      <c r="Y178" s="10"/>
      <c r="Z178" s="10"/>
      <c r="AA178" s="10"/>
      <c r="AB178" s="10"/>
      <c r="AC178" s="10"/>
      <c r="AD178" s="10"/>
      <c r="AE178" s="10"/>
      <c r="AF178" s="10"/>
      <c r="AG178" s="10"/>
      <c r="AH178" s="10"/>
      <c r="AI178" s="10"/>
      <c r="AJ178" s="10"/>
      <c r="AK178" s="10"/>
      <c r="AL178" s="10"/>
    </row>
    <row r="179" spans="1:38" ht="12" customHeight="1" x14ac:dyDescent="0.25">
      <c r="A179" s="10"/>
      <c r="B179" s="222" t="s">
        <v>108</v>
      </c>
      <c r="C179" s="41" t="s">
        <v>232</v>
      </c>
      <c r="D179" s="10"/>
      <c r="E179" s="10"/>
      <c r="F179" s="26" t="s">
        <v>233</v>
      </c>
      <c r="J179" s="10"/>
      <c r="L179" s="10"/>
      <c r="M179" s="10"/>
      <c r="N179" s="10"/>
      <c r="R179" s="10"/>
      <c r="S179" s="10"/>
      <c r="T179" s="10"/>
      <c r="U179" s="10"/>
      <c r="V179" s="10"/>
      <c r="W179" s="10"/>
      <c r="X179" s="10"/>
      <c r="Y179" s="10"/>
      <c r="Z179" s="10"/>
      <c r="AA179" s="10"/>
      <c r="AB179" s="10"/>
      <c r="AC179" s="10"/>
      <c r="AD179" s="10"/>
      <c r="AE179" s="10"/>
      <c r="AF179" s="10"/>
      <c r="AG179" s="10"/>
      <c r="AH179" s="10"/>
      <c r="AI179" s="10"/>
      <c r="AJ179" s="10"/>
      <c r="AK179" s="10"/>
      <c r="AL179" s="10"/>
    </row>
    <row r="180" spans="1:38" x14ac:dyDescent="0.25">
      <c r="A180" s="10"/>
      <c r="B180" s="224"/>
      <c r="F180" s="42" t="s">
        <v>234</v>
      </c>
      <c r="G180" s="43" t="s">
        <v>235</v>
      </c>
      <c r="H180" s="43" t="s">
        <v>236</v>
      </c>
      <c r="I180" s="43" t="s">
        <v>237</v>
      </c>
      <c r="J180" s="10"/>
      <c r="L180" s="10"/>
      <c r="M180" s="10"/>
      <c r="N180" s="10"/>
      <c r="R180" s="10"/>
      <c r="S180" s="10"/>
      <c r="T180" s="10"/>
      <c r="U180" s="10"/>
      <c r="V180" s="10"/>
      <c r="W180" s="10"/>
      <c r="X180" s="10"/>
      <c r="Y180" s="10"/>
      <c r="Z180" s="10"/>
      <c r="AA180" s="10"/>
      <c r="AB180" s="10"/>
      <c r="AC180" s="10"/>
      <c r="AD180" s="10"/>
      <c r="AE180" s="10"/>
      <c r="AF180" s="10"/>
      <c r="AG180" s="10"/>
      <c r="AH180" s="10"/>
      <c r="AI180" s="10"/>
      <c r="AJ180" s="10"/>
      <c r="AK180" s="10"/>
      <c r="AL180" s="10"/>
    </row>
    <row r="181" spans="1:38" x14ac:dyDescent="0.25">
      <c r="A181" s="10"/>
      <c r="B181" s="224"/>
      <c r="C181" s="32" t="s">
        <v>238</v>
      </c>
      <c r="D181" s="16">
        <v>21</v>
      </c>
      <c r="E181" s="32" t="s">
        <v>239</v>
      </c>
      <c r="F181" s="43" t="s">
        <v>240</v>
      </c>
      <c r="G181" s="43" t="s">
        <v>241</v>
      </c>
      <c r="H181" s="43" t="s">
        <v>242</v>
      </c>
      <c r="I181" s="43" t="s">
        <v>242</v>
      </c>
      <c r="J181" s="10"/>
      <c r="M181" s="10"/>
      <c r="N181" s="10"/>
      <c r="R181" s="10"/>
      <c r="S181" s="10"/>
      <c r="T181" s="10"/>
      <c r="U181" s="10"/>
      <c r="V181" s="10"/>
      <c r="W181" s="10"/>
      <c r="X181" s="10"/>
      <c r="Y181" s="10"/>
      <c r="Z181" s="10"/>
      <c r="AA181" s="10"/>
      <c r="AB181" s="10"/>
      <c r="AC181" s="10"/>
      <c r="AD181" s="10"/>
      <c r="AE181" s="10"/>
      <c r="AF181" s="10"/>
      <c r="AG181" s="10"/>
      <c r="AH181" s="10"/>
      <c r="AI181" s="10"/>
      <c r="AJ181" s="10"/>
      <c r="AK181" s="10"/>
      <c r="AL181" s="10"/>
    </row>
    <row r="182" spans="1:38" ht="13.15" customHeight="1" x14ac:dyDescent="0.25">
      <c r="A182" s="10"/>
      <c r="B182" s="226"/>
      <c r="C182" s="32" t="s">
        <v>243</v>
      </c>
      <c r="D182" s="16">
        <v>3</v>
      </c>
      <c r="E182" s="32" t="s">
        <v>244</v>
      </c>
      <c r="F182" s="43" t="s">
        <v>245</v>
      </c>
      <c r="G182" s="43" t="s">
        <v>246</v>
      </c>
      <c r="H182" s="43" t="s">
        <v>247</v>
      </c>
      <c r="I182" s="43" t="s">
        <v>248</v>
      </c>
      <c r="J182" s="10"/>
      <c r="K182" s="110"/>
      <c r="L182" s="110"/>
      <c r="M182" s="110"/>
      <c r="N182" s="110"/>
      <c r="O182" s="10"/>
      <c r="R182" s="10"/>
      <c r="S182" s="10"/>
      <c r="T182" s="10"/>
      <c r="U182" s="10"/>
      <c r="V182" s="10"/>
      <c r="W182" s="10"/>
      <c r="X182" s="10"/>
      <c r="Y182" s="10"/>
      <c r="Z182" s="10"/>
      <c r="AA182" s="10"/>
      <c r="AB182" s="10"/>
      <c r="AC182" s="10"/>
      <c r="AD182" s="10"/>
      <c r="AE182" s="10"/>
      <c r="AF182" s="10"/>
      <c r="AG182" s="10"/>
      <c r="AH182" s="10"/>
      <c r="AI182" s="10"/>
      <c r="AJ182" s="10"/>
      <c r="AK182" s="10"/>
      <c r="AL182" s="10"/>
    </row>
    <row r="183" spans="1:38" x14ac:dyDescent="0.25">
      <c r="A183" s="10"/>
      <c r="B183" s="36"/>
      <c r="C183" s="32" t="s">
        <v>249</v>
      </c>
      <c r="D183" s="52">
        <f>D181-D182</f>
        <v>18</v>
      </c>
      <c r="E183" s="32" t="s">
        <v>186</v>
      </c>
      <c r="F183" s="40" t="s">
        <v>250</v>
      </c>
      <c r="H183" s="10"/>
      <c r="I183" s="10"/>
      <c r="J183" s="10"/>
      <c r="K183" s="110"/>
      <c r="L183" s="110"/>
      <c r="M183" s="110"/>
      <c r="N183" s="110"/>
      <c r="R183" s="10"/>
      <c r="S183" s="10"/>
      <c r="T183" s="10"/>
      <c r="U183" s="10"/>
      <c r="V183" s="10"/>
      <c r="W183" s="10"/>
      <c r="X183" s="10"/>
      <c r="Y183" s="10"/>
      <c r="Z183" s="10"/>
      <c r="AA183" s="10"/>
      <c r="AB183" s="10"/>
      <c r="AC183" s="10"/>
      <c r="AD183" s="10"/>
      <c r="AE183" s="10"/>
      <c r="AF183" s="10"/>
      <c r="AG183" s="10"/>
      <c r="AH183" s="10"/>
      <c r="AI183" s="10"/>
      <c r="AJ183" s="10"/>
      <c r="AK183" s="10"/>
      <c r="AL183" s="10"/>
    </row>
    <row r="184" spans="1:38" x14ac:dyDescent="0.25">
      <c r="C184" s="84" t="s">
        <v>251</v>
      </c>
      <c r="D184" s="52" t="e">
        <f>D30</f>
        <v>#DIV/0!</v>
      </c>
      <c r="E184" s="32" t="s">
        <v>186</v>
      </c>
    </row>
    <row r="185" spans="1:38" x14ac:dyDescent="0.25">
      <c r="D185" s="235"/>
      <c r="E185" s="235"/>
      <c r="F185" s="235"/>
      <c r="G185" s="235"/>
      <c r="H185" s="235"/>
      <c r="I185" s="235"/>
      <c r="J185" s="235"/>
    </row>
    <row r="186" spans="1:38" ht="13.5" customHeight="1" x14ac:dyDescent="0.25">
      <c r="A186" s="10"/>
      <c r="B186" s="10"/>
      <c r="C186" s="10"/>
      <c r="D186" s="10"/>
      <c r="E186" s="10"/>
      <c r="F186" s="39"/>
      <c r="H186" s="10"/>
      <c r="I186" s="10"/>
      <c r="J186" s="10"/>
      <c r="K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row>
    <row r="188" spans="1:38" ht="13.5" customHeight="1" x14ac:dyDescent="0.25">
      <c r="A188" s="10"/>
      <c r="B188" s="222" t="s">
        <v>120</v>
      </c>
      <c r="C188" s="41" t="s">
        <v>252</v>
      </c>
      <c r="D188" s="32"/>
      <c r="E188" s="10"/>
      <c r="F188" s="39"/>
      <c r="H188" s="10"/>
      <c r="I188" s="10"/>
      <c r="J188" s="10"/>
      <c r="K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row>
    <row r="189" spans="1:38" ht="13.5" customHeight="1" x14ac:dyDescent="0.25">
      <c r="A189" s="10"/>
      <c r="B189" s="223"/>
      <c r="C189" s="32" t="s">
        <v>253</v>
      </c>
      <c r="D189" s="17" t="s">
        <v>254</v>
      </c>
      <c r="E189" s="10"/>
      <c r="F189" s="39"/>
      <c r="H189" s="10"/>
      <c r="I189" s="10"/>
      <c r="J189" s="10"/>
      <c r="K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row>
    <row r="190" spans="1:38" ht="13.5" customHeight="1" x14ac:dyDescent="0.25">
      <c r="A190" s="10"/>
      <c r="B190" s="224"/>
      <c r="C190" s="32" t="s">
        <v>255</v>
      </c>
      <c r="D190" s="16"/>
      <c r="E190" s="10" t="s">
        <v>256</v>
      </c>
      <c r="F190" s="39"/>
      <c r="I190" s="10"/>
      <c r="J190" s="10"/>
      <c r="K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row>
    <row r="191" spans="1:38" ht="13.5" customHeight="1" x14ac:dyDescent="0.25">
      <c r="A191" s="10"/>
      <c r="B191" s="224"/>
      <c r="C191" s="32" t="s">
        <v>257</v>
      </c>
      <c r="D191" s="155">
        <f>VLOOKUP(D189,Données!$A$20:$C$24,3,0)*D190*D136*24/1000</f>
        <v>0</v>
      </c>
      <c r="E191" s="10" t="s">
        <v>178</v>
      </c>
      <c r="F191" s="39"/>
      <c r="H191" s="10"/>
      <c r="I191" s="10"/>
      <c r="J191" s="10"/>
      <c r="K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row>
    <row r="192" spans="1:38" ht="13.5" customHeight="1" x14ac:dyDescent="0.25">
      <c r="A192" s="10"/>
      <c r="B192" s="224"/>
      <c r="C192" s="32" t="s">
        <v>258</v>
      </c>
      <c r="D192" s="52">
        <f>SUMPRODUCT(D156:D159,E156:E159)/24*D161/7</f>
        <v>0</v>
      </c>
      <c r="E192" s="10" t="s">
        <v>259</v>
      </c>
      <c r="F192" s="39"/>
      <c r="H192" s="10"/>
      <c r="I192" s="10"/>
      <c r="J192" s="10"/>
      <c r="K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row>
    <row r="193" spans="1:38" ht="13.5" customHeight="1" x14ac:dyDescent="0.25">
      <c r="A193" s="10"/>
      <c r="B193" s="224"/>
      <c r="C193" s="32" t="s">
        <v>260</v>
      </c>
      <c r="D193" s="155">
        <f>VLOOKUP(D189,Données!$A$20:$B$24,2,0)*D192*D136*24/1000</f>
        <v>0</v>
      </c>
      <c r="E193" s="10" t="s">
        <v>178</v>
      </c>
      <c r="F193" s="39"/>
      <c r="H193" s="10"/>
      <c r="I193" s="10"/>
      <c r="J193" s="10"/>
      <c r="K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row>
    <row r="194" spans="1:38" ht="13.5" customHeight="1" x14ac:dyDescent="0.25">
      <c r="A194" s="10"/>
      <c r="B194" s="224"/>
      <c r="C194" s="32" t="s">
        <v>252</v>
      </c>
      <c r="D194" s="155">
        <f>D193+D191</f>
        <v>0</v>
      </c>
      <c r="E194" s="10" t="s">
        <v>178</v>
      </c>
      <c r="F194" s="39"/>
      <c r="H194" s="10"/>
      <c r="I194" s="10"/>
      <c r="J194" s="10"/>
      <c r="K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row>
    <row r="195" spans="1:38" ht="13.5" customHeight="1" x14ac:dyDescent="0.25">
      <c r="A195" s="10"/>
      <c r="B195" s="224"/>
      <c r="C195" s="32"/>
      <c r="D195" s="32"/>
      <c r="E195" s="10"/>
      <c r="F195" s="39"/>
      <c r="H195" s="10"/>
      <c r="I195" s="10"/>
      <c r="J195" s="10"/>
      <c r="K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row>
    <row r="196" spans="1:38" ht="13.5" customHeight="1" x14ac:dyDescent="0.25">
      <c r="A196" s="10"/>
      <c r="B196" s="224"/>
      <c r="C196" s="41" t="s">
        <v>45</v>
      </c>
      <c r="D196" s="32"/>
      <c r="E196" s="10"/>
      <c r="F196" s="39"/>
      <c r="H196" s="10"/>
      <c r="I196" s="10"/>
      <c r="J196" s="10"/>
      <c r="K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row>
    <row r="197" spans="1:38" ht="13.5" customHeight="1" x14ac:dyDescent="0.25">
      <c r="A197" s="10"/>
      <c r="B197" s="225"/>
      <c r="C197" s="32" t="s">
        <v>261</v>
      </c>
      <c r="D197" s="155">
        <f>SUM(Q37:Q79)</f>
        <v>0</v>
      </c>
      <c r="E197" s="10" t="s">
        <v>262</v>
      </c>
      <c r="F197" s="39"/>
      <c r="H197" s="10"/>
      <c r="I197" s="10"/>
      <c r="J197" s="10"/>
      <c r="K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row>
    <row r="198" spans="1:38" ht="13.5" customHeight="1" x14ac:dyDescent="0.25">
      <c r="A198" s="10"/>
      <c r="C198" s="32"/>
      <c r="D198" s="32"/>
      <c r="E198" s="10"/>
      <c r="F198" s="39"/>
      <c r="H198" s="10"/>
      <c r="I198" s="10"/>
      <c r="J198" s="10"/>
      <c r="K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row>
    <row r="199" spans="1:38" x14ac:dyDescent="0.25">
      <c r="A199" s="10"/>
      <c r="B199" s="10"/>
      <c r="C199" s="10"/>
      <c r="D199" s="10"/>
      <c r="E199" s="10"/>
      <c r="F199" s="10"/>
      <c r="G199" s="32"/>
      <c r="H199" s="10"/>
      <c r="I199" s="10"/>
      <c r="J199" s="10"/>
      <c r="K199" s="10"/>
      <c r="P199" s="50"/>
      <c r="Q199" s="10"/>
      <c r="R199" s="10"/>
      <c r="S199" s="10"/>
      <c r="T199" s="10"/>
      <c r="U199" s="10"/>
      <c r="V199" s="10"/>
      <c r="W199" s="10"/>
      <c r="X199" s="10"/>
      <c r="Y199" s="10"/>
      <c r="Z199" s="10"/>
      <c r="AA199" s="10"/>
      <c r="AB199" s="10"/>
      <c r="AC199" s="10"/>
      <c r="AD199" s="10"/>
      <c r="AE199" s="10"/>
      <c r="AF199" s="10"/>
      <c r="AG199" s="10"/>
      <c r="AH199" s="10"/>
      <c r="AI199" s="10"/>
      <c r="AJ199" s="10"/>
      <c r="AK199" s="10"/>
      <c r="AL199" s="10"/>
    </row>
    <row r="200" spans="1:38" x14ac:dyDescent="0.25">
      <c r="A200" s="10"/>
      <c r="B200" s="222" t="s">
        <v>132</v>
      </c>
      <c r="C200" s="41" t="s">
        <v>263</v>
      </c>
      <c r="D200" s="10"/>
      <c r="E200" s="10"/>
      <c r="F200" s="10"/>
      <c r="G200" s="10"/>
      <c r="H200" s="10"/>
      <c r="I200" s="10"/>
      <c r="J200" s="10"/>
      <c r="K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row>
    <row r="201" spans="1:38" x14ac:dyDescent="0.25">
      <c r="A201" s="10"/>
      <c r="B201" s="224"/>
      <c r="C201" s="32" t="s">
        <v>264</v>
      </c>
      <c r="D201" s="51" t="e">
        <f>0.34*D174*D142*(D181-D133)/1000</f>
        <v>#DIV/0!</v>
      </c>
      <c r="E201" s="10" t="s">
        <v>265</v>
      </c>
      <c r="F201" s="32"/>
      <c r="H201" s="10"/>
      <c r="I201" s="10"/>
      <c r="J201" s="10"/>
      <c r="K201" s="37"/>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row>
    <row r="202" spans="1:38" x14ac:dyDescent="0.25">
      <c r="A202" s="10"/>
      <c r="B202" s="224"/>
      <c r="C202" s="32" t="s">
        <v>266</v>
      </c>
      <c r="D202" s="51">
        <f>+D124*(D181-D133)/1000</f>
        <v>0</v>
      </c>
      <c r="E202" s="10" t="s">
        <v>265</v>
      </c>
      <c r="F202" s="32"/>
      <c r="G202" s="10"/>
      <c r="H202" s="10"/>
      <c r="I202" s="10"/>
      <c r="J202" s="10"/>
      <c r="K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row>
    <row r="203" spans="1:38" x14ac:dyDescent="0.25">
      <c r="A203" s="10"/>
      <c r="B203" s="226"/>
      <c r="C203" s="32" t="s">
        <v>267</v>
      </c>
      <c r="D203" s="51" t="e">
        <f>(+D202+D201)</f>
        <v>#DIV/0!</v>
      </c>
      <c r="E203" s="10" t="s">
        <v>265</v>
      </c>
      <c r="F203" s="32" t="s">
        <v>268</v>
      </c>
      <c r="G203" s="10"/>
      <c r="H203" s="10"/>
      <c r="I203" s="10"/>
      <c r="J203" s="10"/>
      <c r="K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row>
    <row r="204" spans="1:38" x14ac:dyDescent="0.25">
      <c r="A204" s="10"/>
      <c r="B204" s="10"/>
      <c r="C204" s="10"/>
      <c r="D204" s="10"/>
      <c r="E204" s="10"/>
      <c r="F204" s="32"/>
      <c r="G204" s="10"/>
      <c r="H204" s="10"/>
      <c r="I204" s="10"/>
      <c r="J204" s="10"/>
      <c r="K204" s="10"/>
      <c r="L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row>
    <row r="205" spans="1:38" x14ac:dyDescent="0.25">
      <c r="A205" s="10"/>
      <c r="B205" s="10"/>
      <c r="C205" s="10"/>
      <c r="D205" s="10"/>
      <c r="E205" s="10"/>
      <c r="F205" s="32"/>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row>
    <row r="206" spans="1:38" x14ac:dyDescent="0.25">
      <c r="A206" s="10"/>
      <c r="B206" s="93" t="s">
        <v>136</v>
      </c>
      <c r="C206" s="41" t="s">
        <v>269</v>
      </c>
      <c r="D206" s="10"/>
      <c r="E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row>
    <row r="207" spans="1:38" x14ac:dyDescent="0.25">
      <c r="A207" s="10"/>
      <c r="B207" s="94"/>
      <c r="E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row>
    <row r="208" spans="1:38" x14ac:dyDescent="0.25">
      <c r="A208" s="10"/>
      <c r="B208" s="94"/>
      <c r="C208" s="32" t="s">
        <v>270</v>
      </c>
      <c r="D208" s="242" t="s">
        <v>271</v>
      </c>
      <c r="E208" s="243"/>
      <c r="F208" s="244"/>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row>
    <row r="209" spans="1:38" x14ac:dyDescent="0.25">
      <c r="A209" s="10"/>
      <c r="B209" s="94"/>
      <c r="C209" s="32" t="s">
        <v>272</v>
      </c>
      <c r="D209" s="16"/>
      <c r="E209" s="10" t="s">
        <v>265</v>
      </c>
      <c r="F209" s="99"/>
      <c r="G209" s="99"/>
      <c r="H209" s="99"/>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row>
    <row r="210" spans="1:38" x14ac:dyDescent="0.25">
      <c r="A210" s="10"/>
      <c r="B210" s="94"/>
      <c r="C210" s="32" t="s">
        <v>273</v>
      </c>
      <c r="D210" s="51" t="e">
        <f>D23/D209</f>
        <v>#DIV/0!</v>
      </c>
      <c r="E210" s="32" t="s">
        <v>274</v>
      </c>
      <c r="F210" s="99"/>
      <c r="G210" s="99"/>
      <c r="H210" s="99"/>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row>
    <row r="211" spans="1:38" x14ac:dyDescent="0.25">
      <c r="A211" s="10"/>
      <c r="B211" s="94"/>
      <c r="C211" s="32" t="s">
        <v>275</v>
      </c>
      <c r="D211" s="51" t="e">
        <f>IF(D203&gt;0,IF(D209/D203&gt;1.3,Données!B58,IF(D209/D203&lt;0.7,"la chaudière semble sous-dimensionnée",Données!C58)),"ERREUR")</f>
        <v>#DIV/0!</v>
      </c>
      <c r="E211" s="200" t="e">
        <f>IF(D210&gt;2500,"La consommation réelle semble élevée par rapport à la puissance de la chaudière","")</f>
        <v>#DIV/0!</v>
      </c>
      <c r="F211" s="99"/>
      <c r="G211" s="99"/>
      <c r="H211" s="99"/>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row>
    <row r="212" spans="1:38" x14ac:dyDescent="0.25">
      <c r="A212" s="10"/>
      <c r="B212" s="94"/>
      <c r="C212" s="32" t="s">
        <v>276</v>
      </c>
      <c r="D212" s="135" t="e" cm="1">
        <f t="array" ref="D212">IF(D211=Données!B58,VLOOKUP('Situation initiale'!D208:F208,Données!A59:B64,2,0),VLOOKUP('Situation initiale'!D208:F208,Données!A59:C64,3,0))</f>
        <v>#DIV/0!</v>
      </c>
      <c r="E212" s="99"/>
      <c r="F212" s="99"/>
      <c r="G212" s="99"/>
      <c r="H212" s="99"/>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row>
    <row r="213" spans="1:38" x14ac:dyDescent="0.25">
      <c r="A213" s="10"/>
      <c r="B213" s="94"/>
      <c r="C213" s="32" t="s">
        <v>277</v>
      </c>
      <c r="D213" s="104" t="s">
        <v>278</v>
      </c>
      <c r="E213" s="99"/>
      <c r="F213" s="99"/>
      <c r="G213" s="99"/>
      <c r="H213" s="99"/>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row>
    <row r="214" spans="1:38" x14ac:dyDescent="0.25">
      <c r="A214" s="10"/>
      <c r="B214" s="94"/>
      <c r="C214" s="32" t="s">
        <v>279</v>
      </c>
      <c r="D214" s="135">
        <f>VLOOKUP(D213,Données!A76:B79,2,0)</f>
        <v>0.98</v>
      </c>
      <c r="E214" s="99"/>
      <c r="F214" s="99"/>
      <c r="G214" s="99"/>
      <c r="H214" s="99"/>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row>
    <row r="215" spans="1:38" x14ac:dyDescent="0.25">
      <c r="A215" s="10"/>
      <c r="B215" s="94"/>
      <c r="C215" s="32" t="s">
        <v>280</v>
      </c>
      <c r="D215" s="105" t="s">
        <v>281</v>
      </c>
      <c r="E215" s="32"/>
      <c r="F215" s="99"/>
      <c r="G215" s="99"/>
      <c r="H215" s="99"/>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row>
    <row r="216" spans="1:38" x14ac:dyDescent="0.25">
      <c r="A216" s="10"/>
      <c r="B216" s="94"/>
      <c r="C216" s="32" t="s">
        <v>282</v>
      </c>
      <c r="D216" s="135">
        <f>VLOOKUP(D215,Données!A82:B84,2,0)</f>
        <v>0.95</v>
      </c>
      <c r="E216" s="32"/>
      <c r="F216" s="99"/>
      <c r="G216" s="99"/>
      <c r="H216" s="99"/>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row>
    <row r="217" spans="1:38" x14ac:dyDescent="0.25">
      <c r="A217" s="10"/>
      <c r="B217" s="94"/>
      <c r="C217" s="32" t="s">
        <v>283</v>
      </c>
      <c r="D217" s="106" t="s">
        <v>387</v>
      </c>
      <c r="E217" s="32"/>
      <c r="F217" s="99"/>
      <c r="G217" s="99"/>
      <c r="H217" s="99"/>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row>
    <row r="218" spans="1:38" x14ac:dyDescent="0.25">
      <c r="A218" s="10"/>
      <c r="B218" s="94"/>
      <c r="C218" s="32" t="s">
        <v>285</v>
      </c>
      <c r="D218" s="135">
        <f>VLOOKUP(D217,Données!A87:B89,2,0)</f>
        <v>0.95</v>
      </c>
      <c r="E218" s="32"/>
      <c r="F218" s="99"/>
      <c r="G218" s="99"/>
      <c r="H218" s="99"/>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row>
    <row r="219" spans="1:38" x14ac:dyDescent="0.25">
      <c r="A219" s="10"/>
      <c r="B219" s="136"/>
      <c r="C219" s="32" t="s">
        <v>286</v>
      </c>
      <c r="D219" s="181" t="e">
        <f>D212*D214*D216*D218</f>
        <v>#DIV/0!</v>
      </c>
      <c r="E219" s="32"/>
      <c r="F219" s="32"/>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row>
    <row r="220" spans="1:38" x14ac:dyDescent="0.25">
      <c r="A220" s="10"/>
      <c r="B220" s="10"/>
      <c r="C220" s="32"/>
      <c r="D220" s="34"/>
      <c r="E220" s="32"/>
      <c r="F220" s="32"/>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row>
    <row r="221" spans="1:38" x14ac:dyDescent="0.25">
      <c r="A221" s="10"/>
      <c r="B221" s="10"/>
      <c r="C221" s="32"/>
      <c r="D221" s="34"/>
      <c r="E221" s="32"/>
      <c r="F221" s="32"/>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row>
    <row r="222" spans="1:38" ht="18" customHeight="1" x14ac:dyDescent="0.35">
      <c r="A222" s="32"/>
      <c r="B222" s="24" t="s">
        <v>287</v>
      </c>
      <c r="C222" s="24" t="s">
        <v>288</v>
      </c>
      <c r="D222" s="32"/>
      <c r="E222" s="26"/>
      <c r="F222" s="26"/>
      <c r="G222" s="10"/>
      <c r="H222" s="97"/>
      <c r="I222" s="26"/>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row>
    <row r="223" spans="1:38" x14ac:dyDescent="0.25">
      <c r="A223" s="32"/>
      <c r="B223" s="32"/>
      <c r="C223" s="32"/>
      <c r="D223" s="34"/>
      <c r="E223" s="32"/>
      <c r="G223" s="32"/>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row>
    <row r="224" spans="1:38" x14ac:dyDescent="0.25">
      <c r="A224" s="32"/>
      <c r="B224" s="32"/>
      <c r="C224" s="32" t="s">
        <v>289</v>
      </c>
      <c r="D224" s="34"/>
      <c r="E224" s="32"/>
      <c r="G224" s="32"/>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row>
    <row r="225" spans="1:38" x14ac:dyDescent="0.25">
      <c r="A225" s="32"/>
      <c r="B225" s="32"/>
      <c r="C225" s="32"/>
      <c r="D225" s="34"/>
      <c r="E225" s="32"/>
      <c r="G225" s="32"/>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row>
    <row r="226" spans="1:38" ht="52" x14ac:dyDescent="0.3">
      <c r="A226" s="32"/>
      <c r="B226" s="32"/>
      <c r="D226" s="176" t="s">
        <v>290</v>
      </c>
      <c r="E226" s="176" t="s">
        <v>291</v>
      </c>
      <c r="F226" s="176" t="s">
        <v>292</v>
      </c>
      <c r="G226" s="176" t="s">
        <v>293</v>
      </c>
      <c r="H226" s="176" t="s">
        <v>294</v>
      </c>
      <c r="I226" s="176" t="s">
        <v>295</v>
      </c>
      <c r="K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row>
    <row r="227" spans="1:38" x14ac:dyDescent="0.25">
      <c r="A227" s="32"/>
      <c r="B227" s="32"/>
      <c r="C227" s="10" t="s">
        <v>296</v>
      </c>
      <c r="D227" s="155" t="e">
        <f>+N91*(D$184-D$135)*D$136*24/(1000)</f>
        <v>#DIV/0!</v>
      </c>
      <c r="E227" s="155" t="e">
        <f>$D$194*D227/deperd_init</f>
        <v>#DIV/0!</v>
      </c>
      <c r="F227" s="155" t="e">
        <f t="shared" ref="F227:F233" si="4">E227-D227</f>
        <v>#DIV/0!</v>
      </c>
      <c r="G227" s="137" t="e">
        <f t="shared" ref="G227:G233" si="5">-F227/$D$244</f>
        <v>#DIV/0!</v>
      </c>
      <c r="H227" s="155" t="e">
        <f>G227*D$244/Données!$K$41</f>
        <v>#DIV/0!</v>
      </c>
      <c r="I227" s="155">
        <f>L91</f>
        <v>0</v>
      </c>
      <c r="K227" s="32"/>
      <c r="M227" s="138"/>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row>
    <row r="228" spans="1:38" x14ac:dyDescent="0.25">
      <c r="A228" s="32"/>
      <c r="B228" s="32"/>
      <c r="C228" s="10" t="s">
        <v>297</v>
      </c>
      <c r="D228" s="155" t="e">
        <f>+(N81+N109+N111)*(D$184-D$135)*D$136*24/(1000)</f>
        <v>#DIV/0!</v>
      </c>
      <c r="E228" s="155" t="e">
        <f>$D$194*D228/deperd_init</f>
        <v>#DIV/0!</v>
      </c>
      <c r="F228" s="155" t="e">
        <f t="shared" si="4"/>
        <v>#DIV/0!</v>
      </c>
      <c r="G228" s="137" t="e">
        <f t="shared" si="5"/>
        <v>#DIV/0!</v>
      </c>
      <c r="H228" s="155" t="e">
        <f>G228*D$244/Données!$K$41</f>
        <v>#DIV/0!</v>
      </c>
      <c r="I228" s="155">
        <f>L81+L109+L111</f>
        <v>0</v>
      </c>
      <c r="K228" s="32"/>
      <c r="M228" s="138"/>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row>
    <row r="229" spans="1:38" x14ac:dyDescent="0.25">
      <c r="A229" s="32"/>
      <c r="B229" s="32"/>
      <c r="C229" s="10" t="s">
        <v>298</v>
      </c>
      <c r="D229" s="155" t="e">
        <f>+(N37+N77)*(D$184-D$135)*D$136*24/(1000)</f>
        <v>#DIV/0!</v>
      </c>
      <c r="E229" s="155" t="e">
        <f>$D$194*D229/deperd_init+D197</f>
        <v>#DIV/0!</v>
      </c>
      <c r="F229" s="155" t="e">
        <f t="shared" si="4"/>
        <v>#DIV/0!</v>
      </c>
      <c r="G229" s="137" t="e">
        <f t="shared" si="5"/>
        <v>#DIV/0!</v>
      </c>
      <c r="H229" s="155" t="e">
        <f>G229*D$244/Données!$K$41</f>
        <v>#DIV/0!</v>
      </c>
      <c r="I229" s="155">
        <f>L80</f>
        <v>0</v>
      </c>
      <c r="K229" s="32"/>
      <c r="M229" s="138"/>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row>
    <row r="230" spans="1:38" x14ac:dyDescent="0.25">
      <c r="A230" s="32"/>
      <c r="B230" s="32"/>
      <c r="C230" s="10" t="s">
        <v>299</v>
      </c>
      <c r="D230" s="155" t="e">
        <f>+(N101+N103+N105+N107)*(D$184-D$135)*D$136*24/(1000)</f>
        <v>#DIV/0!</v>
      </c>
      <c r="E230" s="155" t="e">
        <f>$D$194*D230/deperd_init</f>
        <v>#DIV/0!</v>
      </c>
      <c r="F230" s="155" t="e">
        <f t="shared" si="4"/>
        <v>#DIV/0!</v>
      </c>
      <c r="G230" s="137" t="e">
        <f t="shared" si="5"/>
        <v>#DIV/0!</v>
      </c>
      <c r="H230" s="155" t="e">
        <f>G230*D$244/Données!$K$41</f>
        <v>#DIV/0!</v>
      </c>
      <c r="I230" s="155">
        <f>L101+L103+L105+L107</f>
        <v>0</v>
      </c>
      <c r="K230" s="32"/>
      <c r="M230" s="138"/>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row>
    <row r="231" spans="1:38" x14ac:dyDescent="0.25">
      <c r="A231" s="32"/>
      <c r="B231" s="32"/>
      <c r="C231" s="10" t="s">
        <v>231</v>
      </c>
      <c r="D231" s="155" t="e">
        <f>+(0.34*D142*D175)*(D$184-D$135)*D$136*24/(1000)</f>
        <v>#DIV/0!</v>
      </c>
      <c r="E231" s="155" t="e">
        <f>$D$194*D231/deperd_init</f>
        <v>#DIV/0!</v>
      </c>
      <c r="F231" s="155" t="e">
        <f t="shared" si="4"/>
        <v>#DIV/0!</v>
      </c>
      <c r="G231" s="137" t="e">
        <f t="shared" si="5"/>
        <v>#DIV/0!</v>
      </c>
      <c r="H231" s="155" t="e">
        <f>G231*D$244/Données!$K$41</f>
        <v>#DIV/0!</v>
      </c>
      <c r="I231" s="10"/>
      <c r="K231" s="32"/>
      <c r="M231" s="138"/>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row>
    <row r="232" spans="1:38" x14ac:dyDescent="0.25">
      <c r="A232" s="32"/>
      <c r="B232" s="32"/>
      <c r="C232" s="10" t="s">
        <v>300</v>
      </c>
      <c r="D232" s="155" t="e">
        <f>+(D124-N114)*(Temp_SI-Temp_ext)*duree_chauf*24/(1000)</f>
        <v>#DIV/0!</v>
      </c>
      <c r="E232" s="155" t="e">
        <f>$D$194*D232/deperd_init</f>
        <v>#DIV/0!</v>
      </c>
      <c r="F232" s="155" t="e">
        <f t="shared" si="4"/>
        <v>#DIV/0!</v>
      </c>
      <c r="G232" s="137" t="e">
        <f t="shared" si="5"/>
        <v>#DIV/0!</v>
      </c>
      <c r="H232" s="155" t="e">
        <f>G232*D$244/Données!$K$41</f>
        <v>#DIV/0!</v>
      </c>
      <c r="I232" s="10"/>
      <c r="K232" s="32"/>
      <c r="M232" s="138"/>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row>
    <row r="233" spans="1:38" x14ac:dyDescent="0.25">
      <c r="A233" s="32"/>
      <c r="B233" s="32"/>
      <c r="C233" s="10" t="s">
        <v>301</v>
      </c>
      <c r="D233" s="155" t="e">
        <f>SUBTOTAL(9,D227:D232)</f>
        <v>#DIV/0!</v>
      </c>
      <c r="E233" s="155" t="e">
        <f>SUBTOTAL(9,E227:E232)</f>
        <v>#DIV/0!</v>
      </c>
      <c r="F233" s="155" t="e">
        <f t="shared" si="4"/>
        <v>#DIV/0!</v>
      </c>
      <c r="G233" s="137" t="e">
        <f t="shared" si="5"/>
        <v>#DIV/0!</v>
      </c>
      <c r="H233" s="155" t="e">
        <f>SUBTOTAL(9,H227:H232)</f>
        <v>#DIV/0!</v>
      </c>
      <c r="I233" s="155">
        <f>SUBTOTAL(9,I227:I232)</f>
        <v>0</v>
      </c>
      <c r="K233" s="32"/>
      <c r="L233" s="56"/>
      <c r="M233" s="138"/>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row>
    <row r="234" spans="1:38" x14ac:dyDescent="0.25">
      <c r="A234" s="32"/>
      <c r="B234" s="32"/>
      <c r="C234" s="10"/>
      <c r="D234" s="10"/>
      <c r="E234" s="10"/>
      <c r="G234" s="10"/>
      <c r="H234" s="10"/>
      <c r="I234" s="10"/>
      <c r="K234" s="32"/>
      <c r="L234" s="56"/>
      <c r="M234" s="138"/>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row>
    <row r="235" spans="1:38" ht="13" x14ac:dyDescent="0.3">
      <c r="A235" s="32"/>
      <c r="B235" s="32"/>
      <c r="C235" s="27" t="s">
        <v>302</v>
      </c>
      <c r="D235" s="10"/>
      <c r="E235" s="10"/>
      <c r="G235" s="10"/>
      <c r="H235" s="10"/>
      <c r="I235" s="10"/>
      <c r="K235" s="32"/>
      <c r="L235" s="56"/>
      <c r="M235" s="138"/>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row>
    <row r="236" spans="1:38" x14ac:dyDescent="0.25">
      <c r="A236" s="32"/>
      <c r="B236" s="32"/>
      <c r="C236" s="10" t="s">
        <v>252</v>
      </c>
      <c r="D236" s="155">
        <f>D194</f>
        <v>0</v>
      </c>
      <c r="E236" s="10" t="s">
        <v>22</v>
      </c>
      <c r="G236" s="10"/>
      <c r="H236" s="10"/>
      <c r="I236" s="10"/>
      <c r="K236" s="32"/>
      <c r="L236" s="56"/>
      <c r="M236" s="138"/>
      <c r="Y236" s="10"/>
      <c r="Z236" s="10"/>
      <c r="AA236" s="10"/>
      <c r="AB236" s="10"/>
      <c r="AC236" s="10"/>
      <c r="AD236" s="10"/>
      <c r="AE236" s="10"/>
      <c r="AF236" s="10"/>
      <c r="AG236" s="10"/>
      <c r="AH236" s="10"/>
      <c r="AI236" s="10"/>
      <c r="AJ236" s="10"/>
      <c r="AK236" s="10"/>
      <c r="AL236" s="10"/>
    </row>
    <row r="237" spans="1:38" x14ac:dyDescent="0.25">
      <c r="A237" s="32"/>
      <c r="B237" s="32"/>
      <c r="C237" s="10" t="s">
        <v>45</v>
      </c>
      <c r="D237" s="155">
        <f>D197</f>
        <v>0</v>
      </c>
      <c r="E237" s="10" t="s">
        <v>22</v>
      </c>
      <c r="G237" s="10"/>
      <c r="H237" s="10"/>
      <c r="I237" s="10"/>
      <c r="K237" s="32"/>
      <c r="L237" s="56"/>
      <c r="M237" s="138"/>
      <c r="Y237" s="10"/>
      <c r="Z237" s="10"/>
      <c r="AA237" s="10"/>
      <c r="AB237" s="10"/>
      <c r="AC237" s="10"/>
      <c r="AD237" s="10"/>
      <c r="AE237" s="10"/>
      <c r="AF237" s="10"/>
      <c r="AG237" s="10"/>
      <c r="AH237" s="10"/>
      <c r="AI237" s="10"/>
      <c r="AJ237" s="10"/>
      <c r="AK237" s="10"/>
      <c r="AL237" s="10"/>
    </row>
    <row r="238" spans="1:38" x14ac:dyDescent="0.25">
      <c r="A238" s="32"/>
      <c r="B238" s="32"/>
      <c r="C238" s="10" t="s">
        <v>303</v>
      </c>
      <c r="D238" s="155">
        <f>SUBTOTAL(9,D236:D237)</f>
        <v>0</v>
      </c>
      <c r="E238" s="10" t="s">
        <v>22</v>
      </c>
      <c r="G238" s="10"/>
      <c r="H238" s="10"/>
      <c r="I238" s="10"/>
      <c r="K238" s="32"/>
      <c r="L238" s="56"/>
      <c r="M238" s="138"/>
      <c r="Y238" s="10"/>
      <c r="Z238" s="10"/>
      <c r="AA238" s="10"/>
      <c r="AB238" s="10"/>
      <c r="AC238" s="10"/>
      <c r="AD238" s="10"/>
      <c r="AE238" s="10"/>
      <c r="AF238" s="10"/>
      <c r="AG238" s="10"/>
      <c r="AH238" s="10"/>
      <c r="AI238" s="10"/>
      <c r="AJ238" s="10"/>
      <c r="AK238" s="10"/>
      <c r="AL238" s="10"/>
    </row>
    <row r="239" spans="1:38" x14ac:dyDescent="0.25">
      <c r="A239" s="32"/>
      <c r="B239" s="32"/>
      <c r="C239" s="10"/>
      <c r="D239" s="10"/>
      <c r="E239" s="10"/>
      <c r="G239" s="10"/>
      <c r="H239" s="10"/>
      <c r="I239" s="10"/>
      <c r="K239" s="32"/>
      <c r="L239" s="56"/>
      <c r="M239" s="138"/>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row>
    <row r="240" spans="1:38" x14ac:dyDescent="0.25">
      <c r="A240" s="32"/>
      <c r="B240" s="32"/>
      <c r="C240" s="10" t="s">
        <v>304</v>
      </c>
      <c r="D240" s="155" t="e">
        <f>-F233</f>
        <v>#DIV/0!</v>
      </c>
      <c r="E240" s="10" t="s">
        <v>22</v>
      </c>
      <c r="G240" s="10"/>
      <c r="H240" s="10"/>
      <c r="I240" s="10"/>
      <c r="K240" s="32"/>
      <c r="L240" s="56"/>
      <c r="M240" s="138"/>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row>
    <row r="241" spans="1:38" x14ac:dyDescent="0.25">
      <c r="A241" s="32"/>
      <c r="B241" s="32"/>
      <c r="C241" s="10"/>
      <c r="D241" s="10"/>
      <c r="E241" s="10"/>
      <c r="G241" s="10"/>
      <c r="H241" s="10"/>
      <c r="I241" s="10"/>
      <c r="K241" s="32"/>
      <c r="L241" s="56"/>
      <c r="M241" s="138"/>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row>
    <row r="242" spans="1:38" x14ac:dyDescent="0.25">
      <c r="A242" s="32"/>
      <c r="B242" s="32"/>
      <c r="C242" s="10" t="s">
        <v>305</v>
      </c>
      <c r="D242" s="155" t="e">
        <f>+D240*(1/D219-1)</f>
        <v>#DIV/0!</v>
      </c>
      <c r="E242" s="10" t="s">
        <v>22</v>
      </c>
      <c r="G242" s="137" t="e">
        <f>pertes_chau_init/conso_init</f>
        <v>#DIV/0!</v>
      </c>
      <c r="H242" s="155" t="e">
        <f>G242*D$244/Données!$K$41</f>
        <v>#DIV/0!</v>
      </c>
      <c r="I242" s="10"/>
      <c r="K242" s="32"/>
      <c r="M242" s="138"/>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row>
    <row r="243" spans="1:38" x14ac:dyDescent="0.25">
      <c r="A243" s="32"/>
      <c r="B243" s="32"/>
      <c r="C243" s="10"/>
      <c r="D243" s="125"/>
      <c r="E243" s="10"/>
      <c r="G243" s="138"/>
      <c r="H243" s="125"/>
      <c r="I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row>
    <row r="244" spans="1:38" ht="13" x14ac:dyDescent="0.3">
      <c r="A244" s="32"/>
      <c r="B244" s="32"/>
      <c r="C244" s="27" t="s">
        <v>306</v>
      </c>
      <c r="D244" s="155" t="e">
        <f>D240+D242</f>
        <v>#DIV/0!</v>
      </c>
      <c r="E244" s="10" t="s">
        <v>22</v>
      </c>
      <c r="G244" s="137" t="e">
        <f>+SUM(G233,G242)</f>
        <v>#DIV/0!</v>
      </c>
      <c r="H244" s="155" t="e">
        <f>H233+H242</f>
        <v>#DIV/0!</v>
      </c>
      <c r="I244" s="10"/>
      <c r="K244" s="32"/>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row>
    <row r="245" spans="1:38" x14ac:dyDescent="0.25">
      <c r="A245" s="32"/>
      <c r="B245" s="32"/>
      <c r="G245" s="139"/>
      <c r="I245" s="10"/>
      <c r="J245" s="140"/>
      <c r="K245" s="32"/>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row>
    <row r="246" spans="1:38" x14ac:dyDescent="0.25">
      <c r="A246" s="10"/>
      <c r="B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row>
    <row r="247" spans="1:38" x14ac:dyDescent="0.25">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row>
    <row r="248" spans="1:38" x14ac:dyDescent="0.25">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row>
    <row r="249" spans="1:38" x14ac:dyDescent="0.25">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row>
    <row r="250" spans="1:38" x14ac:dyDescent="0.25">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row>
    <row r="251" spans="1:38" x14ac:dyDescent="0.25">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row>
    <row r="252" spans="1:38" x14ac:dyDescent="0.25">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row>
    <row r="253" spans="1:38" x14ac:dyDescent="0.25">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row>
    <row r="254" spans="1:38" x14ac:dyDescent="0.25">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row>
    <row r="255" spans="1:38" x14ac:dyDescent="0.25">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row>
    <row r="256" spans="1:38" x14ac:dyDescent="0.25">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row>
    <row r="257" spans="1:38" x14ac:dyDescent="0.25">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row>
    <row r="258" spans="1:38" x14ac:dyDescent="0.25">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row>
    <row r="259" spans="1:38" x14ac:dyDescent="0.25">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row>
    <row r="260" spans="1:38" x14ac:dyDescent="0.25">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row>
    <row r="272" spans="1:38" x14ac:dyDescent="0.25">
      <c r="B272" s="10" t="str">
        <f>C227</f>
        <v xml:space="preserve">Toiture </v>
      </c>
      <c r="C272" s="10" t="str">
        <f>C228</f>
        <v>Murs</v>
      </c>
      <c r="D272" s="10" t="str">
        <f>C229</f>
        <v>Vitrages - portes</v>
      </c>
      <c r="E272" s="10" t="str">
        <f>C230</f>
        <v>Planchers</v>
      </c>
      <c r="F272" s="10" t="str">
        <f>C231</f>
        <v>Déperditions aérauliques</v>
      </c>
      <c r="G272" s="10" t="str">
        <f>C232</f>
        <v>Nœuds constructifs</v>
      </c>
      <c r="H272" s="10" t="str">
        <f>C242</f>
        <v>Pertes exploitation chauffage</v>
      </c>
      <c r="Q272" s="10" t="s">
        <v>296</v>
      </c>
      <c r="R272" s="10" t="s">
        <v>297</v>
      </c>
      <c r="S272" s="10" t="s">
        <v>298</v>
      </c>
      <c r="T272" s="10" t="s">
        <v>299</v>
      </c>
    </row>
    <row r="273" spans="1:38" x14ac:dyDescent="0.25">
      <c r="A273" s="10" t="s">
        <v>307</v>
      </c>
      <c r="B273" s="125" t="e">
        <f>D227</f>
        <v>#DIV/0!</v>
      </c>
      <c r="C273" s="125" t="e">
        <f>D228</f>
        <v>#DIV/0!</v>
      </c>
      <c r="D273" s="125" t="e">
        <f>D229</f>
        <v>#DIV/0!</v>
      </c>
      <c r="E273" s="125" t="e">
        <f>D230</f>
        <v>#DIV/0!</v>
      </c>
      <c r="F273" s="125" t="e">
        <f>D231</f>
        <v>#DIV/0!</v>
      </c>
      <c r="G273" s="125" t="e">
        <f>D232</f>
        <v>#DIV/0!</v>
      </c>
      <c r="H273" s="125" t="e">
        <f>D242</f>
        <v>#DIV/0!</v>
      </c>
      <c r="P273" t="s">
        <v>308</v>
      </c>
      <c r="Q273" s="167" t="e">
        <f>D227</f>
        <v>#DIV/0!</v>
      </c>
      <c r="R273" s="167" t="e">
        <f>D228</f>
        <v>#DIV/0!</v>
      </c>
      <c r="S273" s="167" t="e">
        <f>D229</f>
        <v>#DIV/0!</v>
      </c>
      <c r="T273" s="167" t="e">
        <f>D230</f>
        <v>#DIV/0!</v>
      </c>
    </row>
    <row r="274" spans="1:38" x14ac:dyDescent="0.25">
      <c r="A274" s="10" t="s">
        <v>309</v>
      </c>
      <c r="B274" s="10"/>
      <c r="C274" s="10"/>
      <c r="D274" s="10"/>
      <c r="E274" s="10"/>
      <c r="F274" s="10"/>
      <c r="G274" s="10"/>
      <c r="H274" s="10"/>
      <c r="P274" t="s">
        <v>310</v>
      </c>
      <c r="Q274" s="167">
        <f>I227</f>
        <v>0</v>
      </c>
      <c r="R274" s="167">
        <f>I228</f>
        <v>0</v>
      </c>
      <c r="S274" s="167">
        <f>I229</f>
        <v>0</v>
      </c>
      <c r="T274" s="167">
        <f>I230</f>
        <v>0</v>
      </c>
    </row>
    <row r="275" spans="1:38" x14ac:dyDescent="0.25">
      <c r="E275" s="125" t="str">
        <f>C236</f>
        <v>Apports internes</v>
      </c>
      <c r="F275" s="125" t="str">
        <f>C237</f>
        <v>Apports solaires</v>
      </c>
      <c r="G275" s="125" t="str">
        <f>C244</f>
        <v>Estimation consommations</v>
      </c>
    </row>
    <row r="276" spans="1:38" x14ac:dyDescent="0.25">
      <c r="E276" s="125"/>
      <c r="F276" s="125"/>
      <c r="G276" s="125"/>
    </row>
    <row r="277" spans="1:38" x14ac:dyDescent="0.25">
      <c r="E277" s="125">
        <f>D236</f>
        <v>0</v>
      </c>
      <c r="F277" s="125">
        <f>D237</f>
        <v>0</v>
      </c>
      <c r="G277" s="125" t="e">
        <f>D244</f>
        <v>#DIV/0!</v>
      </c>
    </row>
    <row r="280" spans="1:38" ht="18" customHeight="1" x14ac:dyDescent="0.35">
      <c r="A280" s="32"/>
      <c r="B280" s="24" t="s">
        <v>311</v>
      </c>
      <c r="C280" s="24" t="s">
        <v>312</v>
      </c>
      <c r="D280" s="32"/>
      <c r="E280" s="26"/>
      <c r="F280" s="26"/>
      <c r="G280" s="10"/>
      <c r="H280" s="97"/>
      <c r="I280" s="26"/>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row>
    <row r="281" spans="1:38" x14ac:dyDescent="0.25">
      <c r="D281" s="10" t="s">
        <v>313</v>
      </c>
    </row>
    <row r="282" spans="1:38" x14ac:dyDescent="0.25">
      <c r="C282" s="10" t="s">
        <v>314</v>
      </c>
      <c r="D282" s="155" t="e">
        <f>conso_init*Données!P41</f>
        <v>#DIV/0!</v>
      </c>
      <c r="E282" s="10" t="s">
        <v>315</v>
      </c>
    </row>
    <row r="283" spans="1:38" x14ac:dyDescent="0.25">
      <c r="C283" s="10" t="s">
        <v>316</v>
      </c>
      <c r="D283" s="155">
        <f>D13*Données!P39</f>
        <v>0</v>
      </c>
      <c r="E283" s="10" t="s">
        <v>315</v>
      </c>
    </row>
    <row r="284" spans="1:38" x14ac:dyDescent="0.25">
      <c r="C284" s="10" t="s">
        <v>317</v>
      </c>
      <c r="D284" s="155" t="e">
        <f>D283+D282</f>
        <v>#DIV/0!</v>
      </c>
      <c r="E284" s="10" t="s">
        <v>315</v>
      </c>
    </row>
    <row r="286" spans="1:38" x14ac:dyDescent="0.25">
      <c r="D286" t="s">
        <v>318</v>
      </c>
    </row>
    <row r="287" spans="1:38" x14ac:dyDescent="0.25">
      <c r="C287" s="10" t="s">
        <v>319</v>
      </c>
      <c r="D287" s="155">
        <f>D15*Données!$P$39</f>
        <v>0</v>
      </c>
      <c r="E287" s="10" t="s">
        <v>315</v>
      </c>
    </row>
    <row r="289" spans="3:6" x14ac:dyDescent="0.25">
      <c r="C289" s="10"/>
      <c r="D289" t="str">
        <f>C282</f>
        <v>Combustible</v>
      </c>
      <c r="E289" s="10" t="str">
        <f>C283</f>
        <v>Electricité non-verte achetée</v>
      </c>
      <c r="F289" t="str">
        <f>C287</f>
        <v>Electricité produite (PV, éolien)</v>
      </c>
    </row>
    <row r="290" spans="3:6" x14ac:dyDescent="0.25">
      <c r="C290" t="str">
        <f>D281</f>
        <v>Emissions CO2</v>
      </c>
      <c r="D290" s="167" t="e">
        <f>D282</f>
        <v>#DIV/0!</v>
      </c>
      <c r="E290" s="167">
        <f>D283</f>
        <v>0</v>
      </c>
    </row>
    <row r="291" spans="3:6" x14ac:dyDescent="0.25">
      <c r="C291" t="str">
        <f>D286</f>
        <v>Compensation CO2</v>
      </c>
      <c r="F291" s="167">
        <f>D287</f>
        <v>0</v>
      </c>
    </row>
  </sheetData>
  <mergeCells count="58">
    <mergeCell ref="L103:L104"/>
    <mergeCell ref="L105:L106"/>
    <mergeCell ref="L107:L108"/>
    <mergeCell ref="L109:L110"/>
    <mergeCell ref="L111:L112"/>
    <mergeCell ref="L37:L76"/>
    <mergeCell ref="L77:L79"/>
    <mergeCell ref="L81:L90"/>
    <mergeCell ref="L91:L100"/>
    <mergeCell ref="L101:L102"/>
    <mergeCell ref="D208:F208"/>
    <mergeCell ref="K77:K79"/>
    <mergeCell ref="B77:B79"/>
    <mergeCell ref="N77:N79"/>
    <mergeCell ref="M77:M79"/>
    <mergeCell ref="N101:N102"/>
    <mergeCell ref="N105:N106"/>
    <mergeCell ref="N103:N104"/>
    <mergeCell ref="K101:K102"/>
    <mergeCell ref="M101:M102"/>
    <mergeCell ref="M103:M104"/>
    <mergeCell ref="K103:K104"/>
    <mergeCell ref="K107:K108"/>
    <mergeCell ref="M107:M108"/>
    <mergeCell ref="K111:K112"/>
    <mergeCell ref="B101:B102"/>
    <mergeCell ref="B105:B106"/>
    <mergeCell ref="B107:B108"/>
    <mergeCell ref="K105:K106"/>
    <mergeCell ref="D185:J185"/>
    <mergeCell ref="N37:N76"/>
    <mergeCell ref="M37:M76"/>
    <mergeCell ref="K37:K76"/>
    <mergeCell ref="B37:B76"/>
    <mergeCell ref="N91:N100"/>
    <mergeCell ref="B81:B90"/>
    <mergeCell ref="K81:K90"/>
    <mergeCell ref="B91:B100"/>
    <mergeCell ref="K91:K100"/>
    <mergeCell ref="M91:M100"/>
    <mergeCell ref="M81:M90"/>
    <mergeCell ref="N81:N90"/>
    <mergeCell ref="N35:P35"/>
    <mergeCell ref="B131:B136"/>
    <mergeCell ref="B179:B182"/>
    <mergeCell ref="B200:B203"/>
    <mergeCell ref="B139:B176"/>
    <mergeCell ref="B188:B197"/>
    <mergeCell ref="N109:N110"/>
    <mergeCell ref="M109:M110"/>
    <mergeCell ref="K109:K110"/>
    <mergeCell ref="B109:B110"/>
    <mergeCell ref="B111:B112"/>
    <mergeCell ref="M111:M112"/>
    <mergeCell ref="N111:N112"/>
    <mergeCell ref="M105:M106"/>
    <mergeCell ref="N107:N108"/>
    <mergeCell ref="B103:B104"/>
  </mergeCells>
  <phoneticPr fontId="14" type="noConversion"/>
  <hyperlinks>
    <hyperlink ref="F22" r:id="rId1" xr:uid="{EF2E0001-15AB-4BC7-B6BC-6328D21C6E71}"/>
    <hyperlink ref="G108" r:id="rId2" xr:uid="{FE92933A-E092-46E8-B86C-66A0C8730576}"/>
  </hyperlinks>
  <pageMargins left="0.78740157499999996" right="0.78740157499999996" top="0.984251969" bottom="0.984251969" header="0.4921259845" footer="0.4921259845"/>
  <pageSetup paperSize="9" scale="86" fitToHeight="2" orientation="portrait" verticalDpi="355"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180" r:id="rId6" name="Drop Down 1">
              <controlPr defaultSize="0" autoLine="0" autoPict="0">
                <anchor moveWithCells="1">
                  <from>
                    <xdr:col>2</xdr:col>
                    <xdr:colOff>2724150</xdr:colOff>
                    <xdr:row>17</xdr:row>
                    <xdr:rowOff>107950</xdr:rowOff>
                  </from>
                  <to>
                    <xdr:col>4</xdr:col>
                    <xdr:colOff>552450</xdr:colOff>
                    <xdr:row>18</xdr:row>
                    <xdr:rowOff>133350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9D6E7B82-F28B-459F-BD03-FE2D972CAAB3}">
          <x14:formula1>
            <xm:f>Données!$A$20:$A$24</xm:f>
          </x14:formula1>
          <xm:sqref>D189</xm:sqref>
        </x14:dataValidation>
        <x14:dataValidation type="list" allowBlank="1" showInputMessage="1" showErrorMessage="1" xr:uid="{68AC8EF3-FA42-4533-AB2F-984BBE394C5A}">
          <x14:formula1>
            <xm:f>Données!$A$3:$A$10</xm:f>
          </x14:formula1>
          <xm:sqref>I37:I80</xm:sqref>
        </x14:dataValidation>
        <x14:dataValidation type="list" allowBlank="1" showInputMessage="1" showErrorMessage="1" xr:uid="{DBC767F4-7ED9-42C1-8E92-183EAC691987}">
          <x14:formula1>
            <xm:f>'Liste des communes'!$A$2:$A$2791</xm:f>
          </x14:formula1>
          <xm:sqref>D9</xm:sqref>
        </x14:dataValidation>
        <x14:dataValidation type="list" allowBlank="1" showInputMessage="1" showErrorMessage="1" xr:uid="{EDE5DB9B-F9A4-451F-AEA4-AAFFFF12D56D}">
          <x14:formula1>
            <xm:f>Données!$A$54:$A$55</xm:f>
          </x14:formula1>
          <xm:sqref>D120</xm:sqref>
        </x14:dataValidation>
        <x14:dataValidation type="list" allowBlank="1" showInputMessage="1" showErrorMessage="1" xr:uid="{679849F2-57F7-4A24-9E16-0407B5DB9657}">
          <x14:formula1>
            <xm:f>Données!$A$59:$A$64</xm:f>
          </x14:formula1>
          <xm:sqref>D208</xm:sqref>
        </x14:dataValidation>
        <x14:dataValidation type="list" allowBlank="1" showInputMessage="1" showErrorMessage="1" xr:uid="{203540FF-EC1A-4372-AD61-55AA3A02D189}">
          <x14:formula1>
            <xm:f>Données!$A$87:$A$89</xm:f>
          </x14:formula1>
          <xm:sqref>D217</xm:sqref>
        </x14:dataValidation>
        <x14:dataValidation type="list" allowBlank="1" showInputMessage="1" showErrorMessage="1" xr:uid="{13139E16-1390-4275-B0A3-23848E3B27D7}">
          <x14:formula1>
            <xm:f>Données!$A$82:$A$84</xm:f>
          </x14:formula1>
          <xm:sqref>D215</xm:sqref>
        </x14:dataValidation>
        <x14:dataValidation type="list" allowBlank="1" showInputMessage="1" showErrorMessage="1" xr:uid="{5EF463A5-963E-46C7-B021-30A91936F6D1}">
          <x14:formula1>
            <xm:f>Données!$A$76:$A$79</xm:f>
          </x14:formula1>
          <xm:sqref>D213:F213</xm:sqref>
        </x14:dataValidation>
        <x14:dataValidation type="list" allowBlank="1" showInputMessage="1" showErrorMessage="1" xr:uid="{73FF980A-ED4C-449C-918F-C72FB5D4A455}">
          <x14:formula1>
            <xm:f>Données!$A$110:$A$112</xm:f>
          </x14:formula1>
          <xm:sqref>D164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05277-7F19-44FF-B117-B6C7C3114E0F}">
  <sheetPr>
    <tabColor rgb="FF92D050"/>
    <pageSetUpPr fitToPage="1"/>
  </sheetPr>
  <dimension ref="A1:AR376"/>
  <sheetViews>
    <sheetView showGridLines="0" zoomScaleNormal="100" workbookViewId="0">
      <selection activeCell="D193" sqref="D193"/>
    </sheetView>
  </sheetViews>
  <sheetFormatPr baseColWidth="10" defaultColWidth="11.453125" defaultRowHeight="12.5" outlineLevelRow="1" x14ac:dyDescent="0.25"/>
  <cols>
    <col min="1" max="1" width="5.26953125" customWidth="1"/>
    <col min="2" max="2" width="3" customWidth="1"/>
    <col min="3" max="3" width="35.7265625" customWidth="1"/>
    <col min="4" max="4" width="28.81640625" customWidth="1"/>
    <col min="5" max="7" width="9.7265625" customWidth="1"/>
    <col min="8" max="8" width="12.453125" customWidth="1"/>
    <col min="9" max="9" width="12.26953125" customWidth="1"/>
    <col min="10" max="10" width="11.54296875" customWidth="1"/>
    <col min="11" max="11" width="10.81640625" customWidth="1"/>
    <col min="12" max="12" width="10.7265625" hidden="1" customWidth="1"/>
    <col min="13" max="13" width="11.453125" hidden="1" customWidth="1"/>
    <col min="14" max="14" width="14.453125" hidden="1" customWidth="1"/>
    <col min="15" max="15" width="25" hidden="1" customWidth="1"/>
    <col min="16" max="18" width="11.453125" customWidth="1"/>
    <col min="19" max="19" width="12.26953125" customWidth="1"/>
    <col min="20" max="20" width="11.54296875" customWidth="1"/>
    <col min="21" max="21" width="10.81640625" customWidth="1"/>
    <col min="22" max="22" width="10.7265625" customWidth="1"/>
  </cols>
  <sheetData>
    <row r="1" spans="1:44" ht="20" x14ac:dyDescent="0.4">
      <c r="C1" s="95" t="s">
        <v>320</v>
      </c>
      <c r="D1" s="29"/>
      <c r="H1" s="9"/>
      <c r="M1" s="38"/>
    </row>
    <row r="2" spans="1:44" ht="13.5" x14ac:dyDescent="0.35">
      <c r="C2" s="23"/>
      <c r="D2" s="20" t="s">
        <v>321</v>
      </c>
      <c r="E2" s="4"/>
      <c r="F2" s="5"/>
      <c r="G2" s="6"/>
    </row>
    <row r="3" spans="1:44" ht="13.5" x14ac:dyDescent="0.35">
      <c r="C3" s="160"/>
      <c r="D3" s="164" t="s">
        <v>322</v>
      </c>
      <c r="E3" s="161"/>
      <c r="F3" s="162"/>
      <c r="G3" s="163"/>
    </row>
    <row r="4" spans="1:44" ht="13.5" x14ac:dyDescent="0.35">
      <c r="C4" s="22"/>
      <c r="D4" s="21" t="s">
        <v>18</v>
      </c>
      <c r="E4" s="1"/>
      <c r="F4" s="2"/>
      <c r="G4" s="3"/>
    </row>
    <row r="5" spans="1:44" ht="18" x14ac:dyDescent="0.4">
      <c r="C5" s="28"/>
      <c r="D5" s="29"/>
      <c r="H5" s="9"/>
      <c r="M5" s="38"/>
    </row>
    <row r="6" spans="1:44" ht="18" x14ac:dyDescent="0.4">
      <c r="C6" t="s">
        <v>323</v>
      </c>
      <c r="D6" s="29"/>
      <c r="H6" s="9"/>
      <c r="M6" s="38"/>
      <c r="T6" s="246" t="s">
        <v>324</v>
      </c>
      <c r="U6" s="246"/>
      <c r="V6" s="246"/>
    </row>
    <row r="7" spans="1:44" ht="18" x14ac:dyDescent="0.4">
      <c r="C7" t="s">
        <v>325</v>
      </c>
      <c r="D7" s="157">
        <f>'Situation initiale'!D25</f>
        <v>0</v>
      </c>
      <c r="E7" s="111" t="str">
        <f>Données!G42</f>
        <v>€ htva/kWh PCS</v>
      </c>
      <c r="H7" s="9"/>
      <c r="M7" s="38"/>
      <c r="T7" s="246"/>
      <c r="U7" s="246"/>
      <c r="V7" s="246"/>
    </row>
    <row r="8" spans="1:44" ht="18" customHeight="1" x14ac:dyDescent="0.4">
      <c r="C8" s="10" t="s">
        <v>326</v>
      </c>
      <c r="D8" s="121">
        <f>D7/Données!M42</f>
        <v>0</v>
      </c>
      <c r="E8" s="111" t="str">
        <f>IF(OR(Données!B42=5,Données!B42=6),"€/kWh","€/kWh PCI")</f>
        <v>€/kWh PCI</v>
      </c>
      <c r="H8" s="9"/>
      <c r="M8" s="38"/>
      <c r="T8" s="246"/>
      <c r="U8" s="246"/>
      <c r="V8" s="246"/>
    </row>
    <row r="9" spans="1:44" ht="18" customHeight="1" x14ac:dyDescent="0.4">
      <c r="C9" s="10" t="s">
        <v>26</v>
      </c>
      <c r="D9" s="157">
        <f>'Situation initiale'!D17</f>
        <v>0</v>
      </c>
      <c r="E9" s="88" t="s">
        <v>27</v>
      </c>
      <c r="H9" s="9"/>
      <c r="M9" s="38"/>
      <c r="T9" s="246"/>
      <c r="U9" s="246"/>
      <c r="V9" s="246"/>
    </row>
    <row r="10" spans="1:44" x14ac:dyDescent="0.25">
      <c r="T10" s="246"/>
      <c r="U10" s="246"/>
      <c r="V10" s="246"/>
    </row>
    <row r="11" spans="1:44" ht="18" customHeight="1" x14ac:dyDescent="0.35">
      <c r="A11" s="10"/>
      <c r="B11" s="24" t="s">
        <v>43</v>
      </c>
      <c r="C11" s="24" t="s">
        <v>44</v>
      </c>
      <c r="D11" s="32"/>
      <c r="E11" s="26"/>
      <c r="F11" s="26"/>
      <c r="G11" s="10"/>
      <c r="H11" s="97"/>
      <c r="I11" s="26"/>
      <c r="J11" s="10"/>
      <c r="K11" s="10"/>
      <c r="L11" s="10"/>
      <c r="M11" s="10"/>
      <c r="N11" s="10"/>
      <c r="O11" s="10"/>
      <c r="P11" s="10"/>
      <c r="Q11" s="10"/>
      <c r="R11" s="10"/>
      <c r="S11" s="10"/>
      <c r="T11" s="246"/>
      <c r="U11" s="246"/>
      <c r="V11" s="246"/>
      <c r="W11" s="10"/>
      <c r="X11" s="10"/>
      <c r="Y11" s="10"/>
      <c r="Z11" s="10"/>
      <c r="AA11" s="10"/>
      <c r="AB11" s="10"/>
      <c r="AC11" s="10"/>
      <c r="AD11" s="10"/>
      <c r="AE11" s="10"/>
      <c r="AF11" s="10"/>
      <c r="AG11" s="10"/>
      <c r="AH11" s="10"/>
      <c r="AI11" s="10"/>
      <c r="AJ11" s="10"/>
      <c r="AK11" s="10"/>
      <c r="AL11" s="10"/>
    </row>
    <row r="12" spans="1:44" ht="11.25" customHeight="1" x14ac:dyDescent="0.25">
      <c r="B12" s="7"/>
      <c r="C12" s="8"/>
      <c r="D12" s="8"/>
      <c r="E12" s="32"/>
      <c r="F12" s="32"/>
      <c r="G12" s="32"/>
      <c r="H12" s="99"/>
      <c r="I12" s="32"/>
      <c r="J12" s="32"/>
      <c r="K12" s="32"/>
      <c r="L12" s="32"/>
    </row>
    <row r="13" spans="1:44" ht="17.25" customHeight="1" x14ac:dyDescent="0.25">
      <c r="A13" s="10"/>
      <c r="B13" s="10"/>
      <c r="C13" s="32"/>
      <c r="D13" s="32"/>
      <c r="E13" s="32"/>
      <c r="F13" s="32"/>
      <c r="G13" s="32"/>
      <c r="H13" s="99"/>
      <c r="I13" s="32"/>
      <c r="J13" s="32"/>
      <c r="K13" s="32"/>
      <c r="L13" s="32"/>
      <c r="M13" s="10"/>
      <c r="N13" s="10"/>
      <c r="O13" s="10"/>
      <c r="P13" s="221" t="s">
        <v>45</v>
      </c>
      <c r="Q13" s="221"/>
      <c r="R13" s="221"/>
      <c r="S13" s="10"/>
      <c r="T13" s="10"/>
      <c r="U13" s="10"/>
      <c r="V13" s="10"/>
      <c r="W13" s="10"/>
      <c r="X13" s="10"/>
      <c r="Y13" s="10"/>
      <c r="Z13" s="10"/>
      <c r="AA13" s="10"/>
      <c r="AB13" s="10"/>
      <c r="AC13" s="10"/>
      <c r="AD13" s="10"/>
      <c r="AE13" s="10"/>
      <c r="AF13" s="10"/>
      <c r="AG13" s="10"/>
      <c r="AH13" s="10"/>
      <c r="AI13" s="10"/>
      <c r="AJ13" s="10"/>
      <c r="AK13" s="10"/>
      <c r="AL13" s="10"/>
      <c r="AM13" s="10"/>
      <c r="AN13" s="10"/>
    </row>
    <row r="14" spans="1:44" s="12" customFormat="1" ht="36" customHeight="1" x14ac:dyDescent="0.25">
      <c r="A14" s="58"/>
      <c r="B14" s="80"/>
      <c r="C14" s="80"/>
      <c r="D14" s="123" t="s">
        <v>46</v>
      </c>
      <c r="E14" s="35" t="s">
        <v>327</v>
      </c>
      <c r="F14" s="35" t="s">
        <v>328</v>
      </c>
      <c r="G14" s="35" t="s">
        <v>329</v>
      </c>
      <c r="H14" s="35" t="s">
        <v>330</v>
      </c>
      <c r="I14" s="35" t="s">
        <v>331</v>
      </c>
      <c r="J14" s="35" t="s">
        <v>332</v>
      </c>
      <c r="K14" s="35" t="s">
        <v>333</v>
      </c>
      <c r="L14" s="35" t="s">
        <v>52</v>
      </c>
      <c r="M14" s="13" t="s">
        <v>53</v>
      </c>
      <c r="N14" s="35" t="s">
        <v>54</v>
      </c>
      <c r="O14" s="13" t="s">
        <v>55</v>
      </c>
      <c r="P14" s="108" t="s">
        <v>56</v>
      </c>
      <c r="Q14" s="141" t="s">
        <v>57</v>
      </c>
      <c r="R14" s="142" t="s">
        <v>58</v>
      </c>
      <c r="S14" s="35" t="s">
        <v>334</v>
      </c>
      <c r="T14" s="35" t="s">
        <v>335</v>
      </c>
      <c r="U14" s="35" t="s">
        <v>336</v>
      </c>
      <c r="V14" s="35" t="s">
        <v>337</v>
      </c>
      <c r="W14" s="58"/>
      <c r="X14" s="58"/>
      <c r="Y14" s="58"/>
      <c r="Z14" s="58"/>
      <c r="AA14" s="58"/>
      <c r="AB14" s="58"/>
      <c r="AC14" s="58"/>
      <c r="AD14" s="58"/>
      <c r="AE14" s="58"/>
      <c r="AF14" s="58"/>
      <c r="AG14" s="58"/>
      <c r="AH14" s="58"/>
      <c r="AI14" s="58"/>
      <c r="AJ14" s="58"/>
      <c r="AK14" s="58"/>
      <c r="AL14" s="58"/>
      <c r="AM14" s="58"/>
      <c r="AN14" s="58"/>
      <c r="AO14" s="58"/>
      <c r="AP14" s="58"/>
      <c r="AQ14" s="58"/>
      <c r="AR14" s="58"/>
    </row>
    <row r="15" spans="1:44" ht="12" customHeight="1" x14ac:dyDescent="0.25">
      <c r="A15" s="10"/>
      <c r="B15" s="238" t="s">
        <v>59</v>
      </c>
      <c r="C15" s="81" t="s">
        <v>60</v>
      </c>
      <c r="D15" s="57" t="str">
        <f>'Situation initiale'!D37</f>
        <v>Fenêtre 1</v>
      </c>
      <c r="E15" s="17"/>
      <c r="F15" s="156">
        <f t="shared" ref="F15:F90" si="0">H15*E15</f>
        <v>0</v>
      </c>
      <c r="G15" s="212">
        <f>'Situation initiale'!E37</f>
        <v>0</v>
      </c>
      <c r="H15" s="213">
        <f>'Situation initiale'!F37</f>
        <v>0</v>
      </c>
      <c r="I15" s="212">
        <f>'Situation initiale'!G37</f>
        <v>0</v>
      </c>
      <c r="J15" s="214">
        <f>'Situation initiale'!H37</f>
        <v>0</v>
      </c>
      <c r="K15" s="213">
        <f>'Situation initiale'!I37</f>
        <v>0</v>
      </c>
      <c r="L15" s="18">
        <f t="shared" ref="L15:L57" si="1">G15*H15</f>
        <v>0</v>
      </c>
      <c r="M15" s="236">
        <f>SUM(L15:L54)</f>
        <v>0</v>
      </c>
      <c r="N15" s="237">
        <v>1</v>
      </c>
      <c r="O15" s="236">
        <f>+N15*M15</f>
        <v>0</v>
      </c>
      <c r="P15" s="113">
        <f t="shared" ref="P15:P54" si="2">(1-J15)*reduc_vitre</f>
        <v>0.56524999999999992</v>
      </c>
      <c r="Q15" s="124">
        <f>IFERROR(VLOOKUP(K15,Données!$A$3:$B$10,2,0),0)</f>
        <v>0</v>
      </c>
      <c r="R15" s="124">
        <f t="shared" ref="R15:R54" si="3">Q15*P15*I15*H15</f>
        <v>0</v>
      </c>
      <c r="S15" s="18">
        <f>G15-'Situation initiale'!E37</f>
        <v>0</v>
      </c>
      <c r="T15" s="156" t="str">
        <f>IF(S15&lt;0,('Situation initiale'!J37*'Situation initiale'!M$37*duree_chauf*24/1000*(Temp_SI-Temp_ext))/(deperd_init+pertes_chau_init)*conso_init-('Situation rénovée'!L15*'Situation rénovée'!N$15*duree_chauf*24/1000*(Temp_SR-Temp_ext))/(deperd_reno+pertes_chau_reno)*conso_reno,"-")</f>
        <v>-</v>
      </c>
      <c r="U15" s="18" t="str">
        <f>IF(S15&lt;0,('Situation initiale'!J37*'Situation initiale'!M$37*duree_chauf*24/1000*(Temp_SI-Temp_ext))/(deperd_init+pertes_chau_init)*conso_init*cout_vect_init-('Situation rénovée'!L15*'Situation rénovée'!N$15*duree_chauf*24/1000*(Temp_SR-Temp_ext))/(deperd_reno+pertes_chau_reno)*conso_reno*cout_vect_reno,"-")</f>
        <v>-</v>
      </c>
      <c r="V15" s="18" t="str">
        <f t="shared" ref="V15:V46" si="4">IF(AND(S15&lt;0,U15&lt;&gt;0),F15/U15,"-")</f>
        <v>-</v>
      </c>
      <c r="W15" s="10"/>
      <c r="X15" s="10"/>
      <c r="Y15" s="10"/>
      <c r="Z15" s="10"/>
      <c r="AA15" s="10"/>
      <c r="AB15" s="10"/>
      <c r="AC15" s="10"/>
      <c r="AD15" s="10"/>
      <c r="AE15" s="10"/>
      <c r="AF15" s="10"/>
      <c r="AG15" s="10"/>
      <c r="AH15" s="10"/>
      <c r="AI15" s="10"/>
      <c r="AJ15" s="10"/>
      <c r="AK15" s="10"/>
      <c r="AL15" s="10"/>
      <c r="AM15" s="10"/>
      <c r="AN15" s="10"/>
      <c r="AO15" s="10"/>
      <c r="AP15" s="10"/>
      <c r="AQ15" s="10"/>
      <c r="AR15" s="10"/>
    </row>
    <row r="16" spans="1:44" ht="12" customHeight="1" x14ac:dyDescent="0.25">
      <c r="A16" s="10"/>
      <c r="B16" s="238"/>
      <c r="C16" s="81"/>
      <c r="D16" s="57" t="str">
        <f>'Situation initiale'!D38</f>
        <v>Fenêtre 2</v>
      </c>
      <c r="E16" s="17"/>
      <c r="F16" s="156">
        <f t="shared" si="0"/>
        <v>0</v>
      </c>
      <c r="G16" s="212">
        <f>'Situation initiale'!E38</f>
        <v>0</v>
      </c>
      <c r="H16" s="213">
        <f>'Situation initiale'!F38</f>
        <v>0</v>
      </c>
      <c r="I16" s="212">
        <f>'Situation initiale'!G38</f>
        <v>0</v>
      </c>
      <c r="J16" s="214">
        <f>'Situation initiale'!H38</f>
        <v>0</v>
      </c>
      <c r="K16" s="213">
        <f>'Situation initiale'!I38</f>
        <v>0</v>
      </c>
      <c r="L16" s="18">
        <f t="shared" si="1"/>
        <v>0</v>
      </c>
      <c r="M16" s="236"/>
      <c r="N16" s="237"/>
      <c r="O16" s="236"/>
      <c r="P16" s="113">
        <f t="shared" si="2"/>
        <v>0.56524999999999992</v>
      </c>
      <c r="Q16" s="124">
        <f>IFERROR(VLOOKUP(K16,Données!$A$3:$B$10,2,0),0)</f>
        <v>0</v>
      </c>
      <c r="R16" s="124">
        <f t="shared" si="3"/>
        <v>0</v>
      </c>
      <c r="S16" s="18">
        <f>G16-'Situation initiale'!E38</f>
        <v>0</v>
      </c>
      <c r="T16" s="156" t="str">
        <f>IF(S16&lt;0,('Situation initiale'!J38*'Situation initiale'!M$37*duree_chauf*24/1000*(Temp_SI-Temp_ext))/(deperd_init+pertes_chau_init)*conso_init-('Situation rénovée'!L16*'Situation rénovée'!N$15*duree_chauf*24/1000*(Temp_SR-Temp_ext))/(deperd_reno+pertes_chau_reno)*conso_reno,"-")</f>
        <v>-</v>
      </c>
      <c r="U16" s="18" t="str">
        <f>IF(S16&lt;0,('Situation initiale'!J38*'Situation initiale'!M$37*duree_chauf*24/1000*(Temp_SI-Temp_ext))/(deperd_init+pertes_chau_init)*conso_init*cout_vect_init-('Situation rénovée'!L16*'Situation rénovée'!N$15*duree_chauf*24/1000*(Temp_SR-Temp_ext))/(deperd_reno+pertes_chau_reno)*conso_reno*cout_vect_reno,"-")</f>
        <v>-</v>
      </c>
      <c r="V16" s="18" t="str">
        <f t="shared" si="4"/>
        <v>-</v>
      </c>
      <c r="W16" s="10"/>
      <c r="X16" s="10"/>
      <c r="Y16" s="10"/>
      <c r="Z16" s="10"/>
      <c r="AA16" s="10"/>
      <c r="AB16" s="10"/>
      <c r="AC16" s="10"/>
      <c r="AD16" s="10"/>
      <c r="AE16" s="10"/>
      <c r="AF16" s="10"/>
      <c r="AG16" s="10"/>
      <c r="AH16" s="10"/>
      <c r="AI16" s="10"/>
      <c r="AJ16" s="10"/>
      <c r="AK16" s="10"/>
      <c r="AL16" s="10"/>
      <c r="AM16" s="10"/>
      <c r="AN16" s="10"/>
      <c r="AO16" s="10"/>
      <c r="AP16" s="10"/>
      <c r="AQ16" s="10"/>
      <c r="AR16" s="10"/>
    </row>
    <row r="17" spans="1:44" ht="12" customHeight="1" x14ac:dyDescent="0.25">
      <c r="A17" s="10"/>
      <c r="B17" s="238"/>
      <c r="C17" s="81"/>
      <c r="D17" s="57" t="str">
        <f>'Situation initiale'!D39</f>
        <v>Fenêtre 3</v>
      </c>
      <c r="E17" s="17"/>
      <c r="F17" s="156">
        <f t="shared" si="0"/>
        <v>0</v>
      </c>
      <c r="G17" s="212">
        <f>'Situation initiale'!E39</f>
        <v>0</v>
      </c>
      <c r="H17" s="213">
        <f>'Situation initiale'!F39</f>
        <v>0</v>
      </c>
      <c r="I17" s="212">
        <f>'Situation initiale'!G39</f>
        <v>0</v>
      </c>
      <c r="J17" s="214">
        <f>'Situation initiale'!H39</f>
        <v>0</v>
      </c>
      <c r="K17" s="213">
        <f>'Situation initiale'!I39</f>
        <v>0</v>
      </c>
      <c r="L17" s="18">
        <f t="shared" si="1"/>
        <v>0</v>
      </c>
      <c r="M17" s="236"/>
      <c r="N17" s="237"/>
      <c r="O17" s="236"/>
      <c r="P17" s="113">
        <f t="shared" si="2"/>
        <v>0.56524999999999992</v>
      </c>
      <c r="Q17" s="124">
        <f>IFERROR(VLOOKUP(K17,Données!$A$3:$B$10,2,0),0)</f>
        <v>0</v>
      </c>
      <c r="R17" s="124">
        <f t="shared" si="3"/>
        <v>0</v>
      </c>
      <c r="S17" s="18">
        <f>G17-'Situation initiale'!E39</f>
        <v>0</v>
      </c>
      <c r="T17" s="156" t="str">
        <f>IF(S17&lt;0,('Situation initiale'!J39*'Situation initiale'!M$37*duree_chauf*24/1000*(Temp_SI-Temp_ext))/(deperd_init+pertes_chau_init)*conso_init-('Situation rénovée'!L17*'Situation rénovée'!N$15*duree_chauf*24/1000*(Temp_SR-Temp_ext))/(deperd_reno+pertes_chau_reno)*conso_reno,"-")</f>
        <v>-</v>
      </c>
      <c r="U17" s="18" t="str">
        <f>IF(S17&lt;0,('Situation initiale'!J39*'Situation initiale'!M$37*duree_chauf*24/1000*(Temp_SI-Temp_ext))/(deperd_init+pertes_chau_init)*conso_init*cout_vect_init-('Situation rénovée'!L17*'Situation rénovée'!N$15*duree_chauf*24/1000*(Temp_SR-Temp_ext))/(deperd_reno+pertes_chau_reno)*conso_reno*cout_vect_reno,"-")</f>
        <v>-</v>
      </c>
      <c r="V17" s="18" t="str">
        <f t="shared" si="4"/>
        <v>-</v>
      </c>
      <c r="W17" s="10"/>
      <c r="X17" s="10"/>
      <c r="Y17" s="10"/>
      <c r="Z17" s="10"/>
      <c r="AA17" s="10"/>
      <c r="AB17" s="10"/>
      <c r="AC17" s="10"/>
      <c r="AD17" s="10"/>
      <c r="AE17" s="10"/>
      <c r="AF17" s="10"/>
      <c r="AG17" s="10"/>
      <c r="AH17" s="10"/>
      <c r="AI17" s="10"/>
      <c r="AJ17" s="10"/>
      <c r="AK17" s="10"/>
      <c r="AL17" s="10"/>
      <c r="AM17" s="10"/>
      <c r="AN17" s="10"/>
      <c r="AO17" s="10"/>
      <c r="AP17" s="10"/>
      <c r="AQ17" s="10"/>
      <c r="AR17" s="10"/>
    </row>
    <row r="18" spans="1:44" ht="12" customHeight="1" x14ac:dyDescent="0.25">
      <c r="A18" s="10"/>
      <c r="B18" s="238"/>
      <c r="C18" s="81"/>
      <c r="D18" s="57" t="str">
        <f>'Situation initiale'!D40</f>
        <v>Fenêtre 4</v>
      </c>
      <c r="E18" s="17"/>
      <c r="F18" s="156">
        <f t="shared" si="0"/>
        <v>0</v>
      </c>
      <c r="G18" s="212">
        <f>'Situation initiale'!E40</f>
        <v>0</v>
      </c>
      <c r="H18" s="213">
        <f>'Situation initiale'!F40</f>
        <v>0</v>
      </c>
      <c r="I18" s="212">
        <f>'Situation initiale'!G40</f>
        <v>0</v>
      </c>
      <c r="J18" s="214">
        <f>'Situation initiale'!H40</f>
        <v>0</v>
      </c>
      <c r="K18" s="213">
        <f>'Situation initiale'!I40</f>
        <v>0</v>
      </c>
      <c r="L18" s="18">
        <f t="shared" si="1"/>
        <v>0</v>
      </c>
      <c r="M18" s="236"/>
      <c r="N18" s="237"/>
      <c r="O18" s="236"/>
      <c r="P18" s="113">
        <f t="shared" si="2"/>
        <v>0.56524999999999992</v>
      </c>
      <c r="Q18" s="124">
        <f>IFERROR(VLOOKUP(K18,Données!$A$3:$B$10,2,0),0)</f>
        <v>0</v>
      </c>
      <c r="R18" s="124">
        <f t="shared" si="3"/>
        <v>0</v>
      </c>
      <c r="S18" s="18">
        <f>G18-'Situation initiale'!E40</f>
        <v>0</v>
      </c>
      <c r="T18" s="156" t="str">
        <f>IF(S18&lt;0,('Situation initiale'!J40*'Situation initiale'!M$37*duree_chauf*24/1000*(Temp_SI-Temp_ext))/(deperd_init+pertes_chau_init)*conso_init-('Situation rénovée'!L18*'Situation rénovée'!N$15*duree_chauf*24/1000*(Temp_SR-Temp_ext))/(deperd_reno+pertes_chau_reno)*conso_reno,"-")</f>
        <v>-</v>
      </c>
      <c r="U18" s="18" t="str">
        <f>IF(S18&lt;0,('Situation initiale'!J40*'Situation initiale'!M$37*duree_chauf*24/1000*(Temp_SI-Temp_ext))/(deperd_init+pertes_chau_init)*conso_init*cout_vect_init-('Situation rénovée'!L18*'Situation rénovée'!N$15*duree_chauf*24/1000*(Temp_SR-Temp_ext))/(deperd_reno+pertes_chau_reno)*conso_reno*cout_vect_reno,"-")</f>
        <v>-</v>
      </c>
      <c r="V18" s="18" t="str">
        <f t="shared" si="4"/>
        <v>-</v>
      </c>
      <c r="W18" s="10"/>
      <c r="X18" s="10"/>
      <c r="Y18" s="10"/>
      <c r="Z18" s="10"/>
      <c r="AA18" s="10"/>
      <c r="AB18" s="10"/>
      <c r="AC18" s="10"/>
      <c r="AD18" s="10"/>
      <c r="AE18" s="10"/>
      <c r="AF18" s="10"/>
      <c r="AG18" s="10"/>
      <c r="AH18" s="10"/>
      <c r="AI18" s="10"/>
      <c r="AJ18" s="10"/>
      <c r="AK18" s="10"/>
      <c r="AL18" s="10"/>
      <c r="AM18" s="10"/>
      <c r="AN18" s="10"/>
      <c r="AO18" s="10"/>
      <c r="AP18" s="10"/>
      <c r="AQ18" s="10"/>
      <c r="AR18" s="10"/>
    </row>
    <row r="19" spans="1:44" ht="12" customHeight="1" x14ac:dyDescent="0.25">
      <c r="A19" s="10"/>
      <c r="B19" s="238"/>
      <c r="C19" s="81"/>
      <c r="D19" s="57" t="str">
        <f>'Situation initiale'!D41</f>
        <v>Fenêtre 5</v>
      </c>
      <c r="E19" s="17"/>
      <c r="F19" s="156">
        <f t="shared" si="0"/>
        <v>0</v>
      </c>
      <c r="G19" s="212">
        <f>'Situation initiale'!E41</f>
        <v>0</v>
      </c>
      <c r="H19" s="213">
        <f>'Situation initiale'!F41</f>
        <v>0</v>
      </c>
      <c r="I19" s="212">
        <f>'Situation initiale'!G41</f>
        <v>0</v>
      </c>
      <c r="J19" s="214">
        <f>'Situation initiale'!H41</f>
        <v>0</v>
      </c>
      <c r="K19" s="213">
        <f>'Situation initiale'!I41</f>
        <v>0</v>
      </c>
      <c r="L19" s="18">
        <f t="shared" si="1"/>
        <v>0</v>
      </c>
      <c r="M19" s="236"/>
      <c r="N19" s="237"/>
      <c r="O19" s="236"/>
      <c r="P19" s="113">
        <f t="shared" si="2"/>
        <v>0.56524999999999992</v>
      </c>
      <c r="Q19" s="124">
        <f>IFERROR(VLOOKUP(K19,Données!$A$3:$B$10,2,0),0)</f>
        <v>0</v>
      </c>
      <c r="R19" s="124">
        <f t="shared" si="3"/>
        <v>0</v>
      </c>
      <c r="S19" s="18">
        <f>G19-'Situation initiale'!E41</f>
        <v>0</v>
      </c>
      <c r="T19" s="156" t="str">
        <f>IF(S19&lt;0,('Situation initiale'!J41*'Situation initiale'!M$37*duree_chauf*24/1000*(Temp_SI-Temp_ext))/(deperd_init+pertes_chau_init)*conso_init-('Situation rénovée'!L19*'Situation rénovée'!N$15*duree_chauf*24/1000*(Temp_SR-Temp_ext))/(deperd_reno+pertes_chau_reno)*conso_reno,"-")</f>
        <v>-</v>
      </c>
      <c r="U19" s="18" t="str">
        <f>IF(S19&lt;0,('Situation initiale'!J41*'Situation initiale'!M$37*duree_chauf*24/1000*(Temp_SI-Temp_ext))/(deperd_init+pertes_chau_init)*conso_init*cout_vect_init-('Situation rénovée'!L19*'Situation rénovée'!N$15*duree_chauf*24/1000*(Temp_SR-Temp_ext))/(deperd_reno+pertes_chau_reno)*conso_reno*cout_vect_reno,"-")</f>
        <v>-</v>
      </c>
      <c r="V19" s="18" t="str">
        <f t="shared" si="4"/>
        <v>-</v>
      </c>
      <c r="W19" s="10"/>
      <c r="X19" s="10"/>
      <c r="Y19" s="10"/>
      <c r="Z19" s="10"/>
      <c r="AA19" s="10"/>
      <c r="AB19" s="10"/>
      <c r="AC19" s="10"/>
      <c r="AD19" s="10"/>
      <c r="AE19" s="10"/>
      <c r="AF19" s="10"/>
      <c r="AG19" s="10"/>
      <c r="AH19" s="10"/>
      <c r="AI19" s="10"/>
      <c r="AJ19" s="10"/>
      <c r="AK19" s="10"/>
      <c r="AL19" s="10"/>
      <c r="AM19" s="10"/>
      <c r="AN19" s="10"/>
      <c r="AO19" s="10"/>
      <c r="AP19" s="10"/>
      <c r="AQ19" s="10"/>
      <c r="AR19" s="10"/>
    </row>
    <row r="20" spans="1:44" ht="12" customHeight="1" x14ac:dyDescent="0.25">
      <c r="A20" s="10"/>
      <c r="B20" s="238"/>
      <c r="C20" s="81"/>
      <c r="D20" s="57" t="str">
        <f>'Situation initiale'!D42</f>
        <v>Fenêtre 6</v>
      </c>
      <c r="E20" s="17"/>
      <c r="F20" s="156">
        <f t="shared" si="0"/>
        <v>0</v>
      </c>
      <c r="G20" s="212">
        <f>'Situation initiale'!E42</f>
        <v>0</v>
      </c>
      <c r="H20" s="213">
        <f>'Situation initiale'!F42</f>
        <v>0</v>
      </c>
      <c r="I20" s="212">
        <f>'Situation initiale'!G42</f>
        <v>0</v>
      </c>
      <c r="J20" s="214">
        <f>'Situation initiale'!H42</f>
        <v>0</v>
      </c>
      <c r="K20" s="213">
        <f>'Situation initiale'!I42</f>
        <v>0</v>
      </c>
      <c r="L20" s="18">
        <f t="shared" si="1"/>
        <v>0</v>
      </c>
      <c r="M20" s="236"/>
      <c r="N20" s="237"/>
      <c r="O20" s="236"/>
      <c r="P20" s="113">
        <f t="shared" si="2"/>
        <v>0.56524999999999992</v>
      </c>
      <c r="Q20" s="124">
        <f>IFERROR(VLOOKUP(K20,Données!$A$3:$B$10,2,0),0)</f>
        <v>0</v>
      </c>
      <c r="R20" s="124">
        <f t="shared" si="3"/>
        <v>0</v>
      </c>
      <c r="S20" s="18">
        <f>G20-'Situation initiale'!E42</f>
        <v>0</v>
      </c>
      <c r="T20" s="156" t="str">
        <f>IF(S20&lt;0,('Situation initiale'!J42*'Situation initiale'!M$37*duree_chauf*24/1000*(Temp_SI-Temp_ext))/(deperd_init+pertes_chau_init)*conso_init-('Situation rénovée'!L20*'Situation rénovée'!N$15*duree_chauf*24/1000*(Temp_SR-Temp_ext))/(deperd_reno+pertes_chau_reno)*conso_reno,"-")</f>
        <v>-</v>
      </c>
      <c r="U20" s="18" t="str">
        <f>IF(S20&lt;0,('Situation initiale'!J42*'Situation initiale'!M$37*duree_chauf*24/1000*(Temp_SI-Temp_ext))/(deperd_init+pertes_chau_init)*conso_init*cout_vect_init-('Situation rénovée'!L20*'Situation rénovée'!N$15*duree_chauf*24/1000*(Temp_SR-Temp_ext))/(deperd_reno+pertes_chau_reno)*conso_reno*cout_vect_reno,"-")</f>
        <v>-</v>
      </c>
      <c r="V20" s="18" t="str">
        <f t="shared" si="4"/>
        <v>-</v>
      </c>
      <c r="W20" s="10"/>
      <c r="X20" s="10"/>
      <c r="Y20" s="10"/>
      <c r="Z20" s="10"/>
      <c r="AA20" s="10"/>
      <c r="AB20" s="10"/>
      <c r="AC20" s="10"/>
      <c r="AD20" s="10"/>
      <c r="AE20" s="10"/>
      <c r="AF20" s="10"/>
      <c r="AG20" s="10"/>
      <c r="AH20" s="10"/>
      <c r="AI20" s="10"/>
      <c r="AJ20" s="10"/>
      <c r="AK20" s="10"/>
      <c r="AL20" s="10"/>
      <c r="AM20" s="10"/>
      <c r="AN20" s="10"/>
      <c r="AO20" s="10"/>
      <c r="AP20" s="10"/>
      <c r="AQ20" s="10"/>
      <c r="AR20" s="10"/>
    </row>
    <row r="21" spans="1:44" ht="12" customHeight="1" x14ac:dyDescent="0.25">
      <c r="A21" s="10"/>
      <c r="B21" s="238"/>
      <c r="C21" s="81"/>
      <c r="D21" s="57" t="str">
        <f>'Situation initiale'!D43</f>
        <v>Fenêtre 7</v>
      </c>
      <c r="E21" s="17"/>
      <c r="F21" s="156">
        <f t="shared" si="0"/>
        <v>0</v>
      </c>
      <c r="G21" s="212">
        <f>'Situation initiale'!E43</f>
        <v>0</v>
      </c>
      <c r="H21" s="213">
        <f>'Situation initiale'!F43</f>
        <v>0</v>
      </c>
      <c r="I21" s="212">
        <f>'Situation initiale'!G43</f>
        <v>0</v>
      </c>
      <c r="J21" s="214">
        <f>'Situation initiale'!H43</f>
        <v>0</v>
      </c>
      <c r="K21" s="213">
        <f>'Situation initiale'!I43</f>
        <v>0</v>
      </c>
      <c r="L21" s="18">
        <f t="shared" si="1"/>
        <v>0</v>
      </c>
      <c r="M21" s="236"/>
      <c r="N21" s="237"/>
      <c r="O21" s="236"/>
      <c r="P21" s="113">
        <f t="shared" si="2"/>
        <v>0.56524999999999992</v>
      </c>
      <c r="Q21" s="124">
        <f>IFERROR(VLOOKUP(K21,Données!$A$3:$B$10,2,0),0)</f>
        <v>0</v>
      </c>
      <c r="R21" s="124">
        <f t="shared" si="3"/>
        <v>0</v>
      </c>
      <c r="S21" s="18">
        <f>G21-'Situation initiale'!E43</f>
        <v>0</v>
      </c>
      <c r="T21" s="156" t="str">
        <f>IF(S21&lt;0,('Situation initiale'!J43*'Situation initiale'!M$37*duree_chauf*24/1000*(Temp_SI-Temp_ext))/(deperd_init+pertes_chau_init)*conso_init-('Situation rénovée'!L21*'Situation rénovée'!N$15*duree_chauf*24/1000*(Temp_SR-Temp_ext))/(deperd_reno+pertes_chau_reno)*conso_reno,"-")</f>
        <v>-</v>
      </c>
      <c r="U21" s="18" t="str">
        <f>IF(S21&lt;0,('Situation initiale'!J43*'Situation initiale'!M$37*duree_chauf*24/1000*(Temp_SI-Temp_ext))/(deperd_init+pertes_chau_init)*conso_init*cout_vect_init-('Situation rénovée'!L21*'Situation rénovée'!N$15*duree_chauf*24/1000*(Temp_SR-Temp_ext))/(deperd_reno+pertes_chau_reno)*conso_reno*cout_vect_reno,"-")</f>
        <v>-</v>
      </c>
      <c r="V21" s="18" t="str">
        <f t="shared" si="4"/>
        <v>-</v>
      </c>
      <c r="W21" s="10"/>
      <c r="X21" s="10"/>
      <c r="Y21" s="10"/>
      <c r="Z21" s="10"/>
      <c r="AA21" s="10"/>
      <c r="AB21" s="10"/>
      <c r="AC21" s="10"/>
      <c r="AD21" s="10"/>
      <c r="AE21" s="10"/>
      <c r="AF21" s="10"/>
      <c r="AG21" s="10"/>
      <c r="AH21" s="10"/>
      <c r="AI21" s="10"/>
      <c r="AJ21" s="10"/>
      <c r="AK21" s="10"/>
      <c r="AL21" s="10"/>
      <c r="AM21" s="10"/>
      <c r="AN21" s="10"/>
      <c r="AO21" s="10"/>
      <c r="AP21" s="10"/>
      <c r="AQ21" s="10"/>
      <c r="AR21" s="10"/>
    </row>
    <row r="22" spans="1:44" ht="12" customHeight="1" x14ac:dyDescent="0.25">
      <c r="A22" s="10"/>
      <c r="B22" s="238"/>
      <c r="C22" s="81"/>
      <c r="D22" s="57" t="str">
        <f>'Situation initiale'!D44</f>
        <v>Fenêtre 8</v>
      </c>
      <c r="E22" s="17"/>
      <c r="F22" s="156">
        <f t="shared" si="0"/>
        <v>0</v>
      </c>
      <c r="G22" s="212">
        <f>'Situation initiale'!E44</f>
        <v>0</v>
      </c>
      <c r="H22" s="213">
        <f>'Situation initiale'!F44</f>
        <v>0</v>
      </c>
      <c r="I22" s="212">
        <f>'Situation initiale'!G44</f>
        <v>0</v>
      </c>
      <c r="J22" s="214">
        <f>'Situation initiale'!H44</f>
        <v>0</v>
      </c>
      <c r="K22" s="213">
        <f>'Situation initiale'!I44</f>
        <v>0</v>
      </c>
      <c r="L22" s="18">
        <f t="shared" si="1"/>
        <v>0</v>
      </c>
      <c r="M22" s="236"/>
      <c r="N22" s="237"/>
      <c r="O22" s="236"/>
      <c r="P22" s="113">
        <f t="shared" si="2"/>
        <v>0.56524999999999992</v>
      </c>
      <c r="Q22" s="124">
        <f>IFERROR(VLOOKUP(K22,Données!$A$3:$B$10,2,0),0)</f>
        <v>0</v>
      </c>
      <c r="R22" s="124">
        <f t="shared" si="3"/>
        <v>0</v>
      </c>
      <c r="S22" s="18">
        <f>G22-'Situation initiale'!E44</f>
        <v>0</v>
      </c>
      <c r="T22" s="156" t="str">
        <f>IF(S22&lt;0,('Situation initiale'!J44*'Situation initiale'!M$37*duree_chauf*24/1000*(Temp_SI-Temp_ext))/(deperd_init+pertes_chau_init)*conso_init-('Situation rénovée'!L22*'Situation rénovée'!N$15*duree_chauf*24/1000*(Temp_SR-Temp_ext))/(deperd_reno+pertes_chau_reno)*conso_reno,"-")</f>
        <v>-</v>
      </c>
      <c r="U22" s="18" t="str">
        <f>IF(S22&lt;0,('Situation initiale'!J44*'Situation initiale'!M$37*duree_chauf*24/1000*(Temp_SI-Temp_ext))/(deperd_init+pertes_chau_init)*conso_init*cout_vect_init-('Situation rénovée'!L22*'Situation rénovée'!N$15*duree_chauf*24/1000*(Temp_SR-Temp_ext))/(deperd_reno+pertes_chau_reno)*conso_reno*cout_vect_reno,"-")</f>
        <v>-</v>
      </c>
      <c r="V22" s="18" t="str">
        <f t="shared" si="4"/>
        <v>-</v>
      </c>
      <c r="W22" s="10"/>
      <c r="X22" s="10"/>
      <c r="Y22" s="10"/>
      <c r="Z22" s="10"/>
      <c r="AA22" s="10"/>
      <c r="AB22" s="10"/>
      <c r="AC22" s="10"/>
      <c r="AD22" s="10"/>
      <c r="AE22" s="10"/>
      <c r="AF22" s="10"/>
      <c r="AG22" s="10"/>
      <c r="AH22" s="10"/>
      <c r="AI22" s="10"/>
      <c r="AJ22" s="10"/>
      <c r="AK22" s="10"/>
      <c r="AL22" s="10"/>
      <c r="AM22" s="10"/>
      <c r="AN22" s="10"/>
      <c r="AO22" s="10"/>
      <c r="AP22" s="10"/>
      <c r="AQ22" s="10"/>
      <c r="AR22" s="10"/>
    </row>
    <row r="23" spans="1:44" ht="12" customHeight="1" x14ac:dyDescent="0.25">
      <c r="A23" s="10"/>
      <c r="B23" s="238"/>
      <c r="C23" s="81"/>
      <c r="D23" s="57" t="str">
        <f>'Situation initiale'!D45</f>
        <v>Fenêtre 9</v>
      </c>
      <c r="E23" s="17"/>
      <c r="F23" s="156">
        <f t="shared" si="0"/>
        <v>0</v>
      </c>
      <c r="G23" s="212">
        <f>'Situation initiale'!E45</f>
        <v>0</v>
      </c>
      <c r="H23" s="213">
        <f>'Situation initiale'!F45</f>
        <v>0</v>
      </c>
      <c r="I23" s="212">
        <f>'Situation initiale'!G45</f>
        <v>0</v>
      </c>
      <c r="J23" s="214">
        <f>'Situation initiale'!H45</f>
        <v>0</v>
      </c>
      <c r="K23" s="213">
        <f>'Situation initiale'!I45</f>
        <v>0</v>
      </c>
      <c r="L23" s="18">
        <f t="shared" si="1"/>
        <v>0</v>
      </c>
      <c r="M23" s="236"/>
      <c r="N23" s="237"/>
      <c r="O23" s="236"/>
      <c r="P23" s="113">
        <f t="shared" si="2"/>
        <v>0.56524999999999992</v>
      </c>
      <c r="Q23" s="124">
        <f>IFERROR(VLOOKUP(K23,Données!$A$3:$B$10,2,0),0)</f>
        <v>0</v>
      </c>
      <c r="R23" s="124">
        <f t="shared" si="3"/>
        <v>0</v>
      </c>
      <c r="S23" s="18">
        <f>G23-'Situation initiale'!E45</f>
        <v>0</v>
      </c>
      <c r="T23" s="156" t="str">
        <f>IF(S23&lt;0,('Situation initiale'!J45*'Situation initiale'!M$37*duree_chauf*24/1000*(Temp_SI-Temp_ext))/(deperd_init+pertes_chau_init)*conso_init-('Situation rénovée'!L23*'Situation rénovée'!N$15*duree_chauf*24/1000*(Temp_SR-Temp_ext))/(deperd_reno+pertes_chau_reno)*conso_reno,"-")</f>
        <v>-</v>
      </c>
      <c r="U23" s="18" t="str">
        <f>IF(S23&lt;0,('Situation initiale'!J45*'Situation initiale'!M$37*duree_chauf*24/1000*(Temp_SI-Temp_ext))/(deperd_init+pertes_chau_init)*conso_init*cout_vect_init-('Situation rénovée'!L23*'Situation rénovée'!N$15*duree_chauf*24/1000*(Temp_SR-Temp_ext))/(deperd_reno+pertes_chau_reno)*conso_reno*cout_vect_reno,"-")</f>
        <v>-</v>
      </c>
      <c r="V23" s="18" t="str">
        <f t="shared" si="4"/>
        <v>-</v>
      </c>
      <c r="W23" s="10"/>
      <c r="X23" s="10"/>
      <c r="Y23" s="10"/>
      <c r="Z23" s="10"/>
      <c r="AA23" s="10"/>
      <c r="AB23" s="10"/>
      <c r="AC23" s="10"/>
      <c r="AD23" s="10"/>
      <c r="AE23" s="10"/>
      <c r="AF23" s="10"/>
      <c r="AG23" s="10"/>
      <c r="AH23" s="10"/>
      <c r="AI23" s="10"/>
      <c r="AJ23" s="10"/>
      <c r="AK23" s="10"/>
      <c r="AL23" s="10"/>
      <c r="AM23" s="10"/>
      <c r="AN23" s="10"/>
      <c r="AO23" s="10"/>
      <c r="AP23" s="10"/>
      <c r="AQ23" s="10"/>
      <c r="AR23" s="10"/>
    </row>
    <row r="24" spans="1:44" ht="12" customHeight="1" x14ac:dyDescent="0.25">
      <c r="A24" s="10"/>
      <c r="B24" s="238"/>
      <c r="C24" s="81"/>
      <c r="D24" s="57" t="str">
        <f>'Situation initiale'!D46</f>
        <v>Fenêtre 10</v>
      </c>
      <c r="E24" s="17"/>
      <c r="F24" s="156">
        <f t="shared" si="0"/>
        <v>0</v>
      </c>
      <c r="G24" s="212">
        <f>'Situation initiale'!E46</f>
        <v>0</v>
      </c>
      <c r="H24" s="213">
        <f>'Situation initiale'!F46</f>
        <v>0</v>
      </c>
      <c r="I24" s="212">
        <f>'Situation initiale'!G46</f>
        <v>0</v>
      </c>
      <c r="J24" s="214">
        <f>'Situation initiale'!H46</f>
        <v>0</v>
      </c>
      <c r="K24" s="213">
        <f>'Situation initiale'!I46</f>
        <v>0</v>
      </c>
      <c r="L24" s="18">
        <f t="shared" si="1"/>
        <v>0</v>
      </c>
      <c r="M24" s="236"/>
      <c r="N24" s="237"/>
      <c r="O24" s="236"/>
      <c r="P24" s="113">
        <f t="shared" si="2"/>
        <v>0.56524999999999992</v>
      </c>
      <c r="Q24" s="124">
        <f>IFERROR(VLOOKUP(K24,Données!$A$3:$B$10,2,0),0)</f>
        <v>0</v>
      </c>
      <c r="R24" s="124">
        <f t="shared" si="3"/>
        <v>0</v>
      </c>
      <c r="S24" s="18">
        <f>G24-'Situation initiale'!E46</f>
        <v>0</v>
      </c>
      <c r="T24" s="156" t="str">
        <f>IF(S24&lt;0,('Situation initiale'!J46*'Situation initiale'!M$37*duree_chauf*24/1000*(Temp_SI-Temp_ext))/(deperd_init+pertes_chau_init)*conso_init-('Situation rénovée'!L24*'Situation rénovée'!N$15*duree_chauf*24/1000*(Temp_SR-Temp_ext))/(deperd_reno+pertes_chau_reno)*conso_reno,"-")</f>
        <v>-</v>
      </c>
      <c r="U24" s="18" t="str">
        <f>IF(S24&lt;0,('Situation initiale'!J46*'Situation initiale'!M$37*duree_chauf*24/1000*(Temp_SI-Temp_ext))/(deperd_init+pertes_chau_init)*conso_init*cout_vect_init-('Situation rénovée'!L24*'Situation rénovée'!N$15*duree_chauf*24/1000*(Temp_SR-Temp_ext))/(deperd_reno+pertes_chau_reno)*conso_reno*cout_vect_reno,"-")</f>
        <v>-</v>
      </c>
      <c r="V24" s="18" t="str">
        <f t="shared" si="4"/>
        <v>-</v>
      </c>
      <c r="W24" s="10"/>
      <c r="X24" s="10"/>
      <c r="Y24" s="10"/>
      <c r="Z24" s="10"/>
      <c r="AA24" s="10"/>
      <c r="AB24" s="10"/>
      <c r="AC24" s="10"/>
      <c r="AD24" s="10"/>
      <c r="AE24" s="10"/>
      <c r="AF24" s="10"/>
      <c r="AG24" s="10"/>
      <c r="AH24" s="10"/>
      <c r="AI24" s="10"/>
      <c r="AJ24" s="10"/>
      <c r="AK24" s="10"/>
      <c r="AL24" s="10"/>
      <c r="AM24" s="10"/>
      <c r="AN24" s="10"/>
      <c r="AO24" s="10"/>
      <c r="AP24" s="10"/>
      <c r="AQ24" s="10"/>
      <c r="AR24" s="10"/>
    </row>
    <row r="25" spans="1:44" ht="12" hidden="1" customHeight="1" outlineLevel="1" x14ac:dyDescent="0.25">
      <c r="A25" s="10"/>
      <c r="B25" s="238"/>
      <c r="C25" s="81"/>
      <c r="D25" s="57" t="str">
        <f>'Situation initiale'!D47</f>
        <v>Fenêtre 11</v>
      </c>
      <c r="E25" s="17"/>
      <c r="F25" s="156">
        <f t="shared" si="0"/>
        <v>0</v>
      </c>
      <c r="G25" s="212">
        <f>'Situation initiale'!E47</f>
        <v>0</v>
      </c>
      <c r="H25" s="213">
        <f>'Situation initiale'!F47</f>
        <v>0</v>
      </c>
      <c r="I25" s="212">
        <f>'Situation initiale'!G47</f>
        <v>0</v>
      </c>
      <c r="J25" s="214">
        <f>'Situation initiale'!H47</f>
        <v>0</v>
      </c>
      <c r="K25" s="213">
        <f>'Situation initiale'!I47</f>
        <v>0</v>
      </c>
      <c r="L25" s="18">
        <f t="shared" si="1"/>
        <v>0</v>
      </c>
      <c r="M25" s="236"/>
      <c r="N25" s="237"/>
      <c r="O25" s="236"/>
      <c r="P25" s="113">
        <f t="shared" si="2"/>
        <v>0.56524999999999992</v>
      </c>
      <c r="Q25" s="124">
        <f>IFERROR(VLOOKUP(K25,Données!$A$3:$B$10,2,0),0)</f>
        <v>0</v>
      </c>
      <c r="R25" s="124">
        <f t="shared" si="3"/>
        <v>0</v>
      </c>
      <c r="S25" s="18">
        <f>G25-'Situation initiale'!E47</f>
        <v>0</v>
      </c>
      <c r="T25" s="156" t="str">
        <f>IF(S25&lt;0,('Situation initiale'!J47*'Situation initiale'!M$37*duree_chauf*24/1000*(Temp_SI-Temp_ext))/(deperd_init+pertes_chau_init)*conso_init-('Situation rénovée'!L25*'Situation rénovée'!N$15*duree_chauf*24/1000*(Temp_SR-Temp_ext))/(deperd_reno+pertes_chau_reno)*conso_reno,"-")</f>
        <v>-</v>
      </c>
      <c r="U25" s="18" t="str">
        <f>IF(S25&lt;0,('Situation initiale'!J47*'Situation initiale'!M$37*duree_chauf*24/1000*(Temp_SI-Temp_ext))/(deperd_init+pertes_chau_init)*conso_init*cout_vect_init-('Situation rénovée'!L25*'Situation rénovée'!N$15*duree_chauf*24/1000*(Temp_SR-Temp_ext))/(deperd_reno+pertes_chau_reno)*conso_reno*cout_vect_reno,"-")</f>
        <v>-</v>
      </c>
      <c r="V25" s="18" t="str">
        <f t="shared" si="4"/>
        <v>-</v>
      </c>
      <c r="W25" s="10"/>
      <c r="X25" s="10"/>
      <c r="Y25" s="10"/>
      <c r="Z25" s="10"/>
      <c r="AA25" s="10"/>
      <c r="AB25" s="10"/>
      <c r="AC25" s="10"/>
      <c r="AD25" s="10"/>
      <c r="AE25" s="10"/>
      <c r="AF25" s="10"/>
      <c r="AG25" s="10"/>
      <c r="AH25" s="10"/>
      <c r="AI25" s="10"/>
      <c r="AJ25" s="10"/>
      <c r="AK25" s="10"/>
      <c r="AL25" s="10"/>
      <c r="AM25" s="10"/>
      <c r="AN25" s="10"/>
      <c r="AO25" s="10"/>
      <c r="AP25" s="10"/>
      <c r="AQ25" s="10"/>
      <c r="AR25" s="10"/>
    </row>
    <row r="26" spans="1:44" ht="12" hidden="1" customHeight="1" outlineLevel="1" x14ac:dyDescent="0.25">
      <c r="A26" s="10"/>
      <c r="B26" s="238"/>
      <c r="C26" s="81"/>
      <c r="D26" s="57" t="str">
        <f>'Situation initiale'!D48</f>
        <v>Fenêtre 12</v>
      </c>
      <c r="E26" s="17"/>
      <c r="F26" s="156">
        <f t="shared" si="0"/>
        <v>0</v>
      </c>
      <c r="G26" s="212">
        <f>'Situation initiale'!E48</f>
        <v>0</v>
      </c>
      <c r="H26" s="213">
        <f>'Situation initiale'!F48</f>
        <v>0</v>
      </c>
      <c r="I26" s="212">
        <f>'Situation initiale'!G48</f>
        <v>0</v>
      </c>
      <c r="J26" s="214">
        <f>'Situation initiale'!H48</f>
        <v>0</v>
      </c>
      <c r="K26" s="213">
        <f>'Situation initiale'!I48</f>
        <v>0</v>
      </c>
      <c r="L26" s="18">
        <f t="shared" si="1"/>
        <v>0</v>
      </c>
      <c r="M26" s="236"/>
      <c r="N26" s="237"/>
      <c r="O26" s="236"/>
      <c r="P26" s="113">
        <f t="shared" si="2"/>
        <v>0.56524999999999992</v>
      </c>
      <c r="Q26" s="124">
        <f>IFERROR(VLOOKUP(K26,Données!$A$3:$B$10,2,0),0)</f>
        <v>0</v>
      </c>
      <c r="R26" s="124">
        <f t="shared" si="3"/>
        <v>0</v>
      </c>
      <c r="S26" s="18">
        <f>G26-'Situation initiale'!E48</f>
        <v>0</v>
      </c>
      <c r="T26" s="156" t="str">
        <f>IF(S26&lt;0,('Situation initiale'!J48*'Situation initiale'!M$37*duree_chauf*24/1000*(Temp_SI-Temp_ext))/(deperd_init+pertes_chau_init)*conso_init-('Situation rénovée'!L26*'Situation rénovée'!N$15*duree_chauf*24/1000*(Temp_SR-Temp_ext))/(deperd_reno+pertes_chau_reno)*conso_reno,"-")</f>
        <v>-</v>
      </c>
      <c r="U26" s="18" t="str">
        <f>IF(S26&lt;0,('Situation initiale'!J48*'Situation initiale'!M$37*duree_chauf*24/1000*(Temp_SI-Temp_ext))/(deperd_init+pertes_chau_init)*conso_init*cout_vect_init-('Situation rénovée'!L26*'Situation rénovée'!N$15*duree_chauf*24/1000*(Temp_SR-Temp_ext))/(deperd_reno+pertes_chau_reno)*conso_reno*cout_vect_reno,"-")</f>
        <v>-</v>
      </c>
      <c r="V26" s="18" t="str">
        <f t="shared" si="4"/>
        <v>-</v>
      </c>
      <c r="W26" s="10"/>
      <c r="X26" s="10"/>
      <c r="Y26" s="10"/>
      <c r="Z26" s="10"/>
      <c r="AA26" s="10"/>
      <c r="AB26" s="10"/>
      <c r="AC26" s="10"/>
      <c r="AD26" s="10"/>
      <c r="AE26" s="10"/>
      <c r="AF26" s="10"/>
      <c r="AG26" s="10"/>
      <c r="AH26" s="10"/>
      <c r="AI26" s="10"/>
      <c r="AJ26" s="10"/>
      <c r="AK26" s="10"/>
      <c r="AL26" s="10"/>
      <c r="AM26" s="10"/>
      <c r="AN26" s="10"/>
      <c r="AO26" s="10"/>
      <c r="AP26" s="10"/>
      <c r="AQ26" s="10"/>
      <c r="AR26" s="10"/>
    </row>
    <row r="27" spans="1:44" ht="12" hidden="1" customHeight="1" outlineLevel="1" x14ac:dyDescent="0.25">
      <c r="A27" s="10"/>
      <c r="B27" s="238"/>
      <c r="C27" s="81"/>
      <c r="D27" s="57" t="str">
        <f>'Situation initiale'!D49</f>
        <v>Fenêtre 13</v>
      </c>
      <c r="E27" s="17"/>
      <c r="F27" s="156">
        <f t="shared" si="0"/>
        <v>0</v>
      </c>
      <c r="G27" s="212">
        <f>'Situation initiale'!E49</f>
        <v>0</v>
      </c>
      <c r="H27" s="213">
        <f>'Situation initiale'!F49</f>
        <v>0</v>
      </c>
      <c r="I27" s="212">
        <f>'Situation initiale'!G49</f>
        <v>0</v>
      </c>
      <c r="J27" s="214">
        <f>'Situation initiale'!H49</f>
        <v>0</v>
      </c>
      <c r="K27" s="213">
        <f>'Situation initiale'!I49</f>
        <v>0</v>
      </c>
      <c r="L27" s="18">
        <f t="shared" si="1"/>
        <v>0</v>
      </c>
      <c r="M27" s="236"/>
      <c r="N27" s="237"/>
      <c r="O27" s="236"/>
      <c r="P27" s="113">
        <f t="shared" si="2"/>
        <v>0.56524999999999992</v>
      </c>
      <c r="Q27" s="124">
        <f>IFERROR(VLOOKUP(K27,Données!$A$3:$B$10,2,0),0)</f>
        <v>0</v>
      </c>
      <c r="R27" s="124">
        <f t="shared" si="3"/>
        <v>0</v>
      </c>
      <c r="S27" s="18">
        <f>G27-'Situation initiale'!E49</f>
        <v>0</v>
      </c>
      <c r="T27" s="156" t="str">
        <f>IF(S27&lt;0,('Situation initiale'!J49*'Situation initiale'!M$37*duree_chauf*24/1000*(Temp_SI-Temp_ext))/(deperd_init+pertes_chau_init)*conso_init-('Situation rénovée'!L27*'Situation rénovée'!N$15*duree_chauf*24/1000*(Temp_SR-Temp_ext))/(deperd_reno+pertes_chau_reno)*conso_reno,"-")</f>
        <v>-</v>
      </c>
      <c r="U27" s="18" t="str">
        <f>IF(S27&lt;0,('Situation initiale'!J49*'Situation initiale'!M$37*duree_chauf*24/1000*(Temp_SI-Temp_ext))/(deperd_init+pertes_chau_init)*conso_init*cout_vect_init-('Situation rénovée'!L27*'Situation rénovée'!N$15*duree_chauf*24/1000*(Temp_SR-Temp_ext))/(deperd_reno+pertes_chau_reno)*conso_reno*cout_vect_reno,"-")</f>
        <v>-</v>
      </c>
      <c r="V27" s="18" t="str">
        <f t="shared" si="4"/>
        <v>-</v>
      </c>
      <c r="W27" s="10"/>
      <c r="X27" s="10"/>
      <c r="Y27" s="10"/>
      <c r="Z27" s="10"/>
      <c r="AA27" s="10"/>
      <c r="AB27" s="10"/>
      <c r="AC27" s="10"/>
      <c r="AD27" s="10"/>
      <c r="AE27" s="10"/>
      <c r="AF27" s="10"/>
      <c r="AG27" s="10"/>
      <c r="AH27" s="10"/>
      <c r="AI27" s="10"/>
      <c r="AJ27" s="10"/>
      <c r="AK27" s="10"/>
      <c r="AL27" s="10"/>
      <c r="AM27" s="10"/>
      <c r="AN27" s="10"/>
      <c r="AO27" s="10"/>
      <c r="AP27" s="10"/>
      <c r="AQ27" s="10"/>
      <c r="AR27" s="10"/>
    </row>
    <row r="28" spans="1:44" ht="12" hidden="1" customHeight="1" outlineLevel="1" x14ac:dyDescent="0.25">
      <c r="A28" s="10"/>
      <c r="B28" s="238"/>
      <c r="C28" s="81"/>
      <c r="D28" s="57" t="str">
        <f>'Situation initiale'!D50</f>
        <v>Fenêtre 14</v>
      </c>
      <c r="E28" s="17"/>
      <c r="F28" s="156">
        <f t="shared" si="0"/>
        <v>0</v>
      </c>
      <c r="G28" s="212">
        <f>'Situation initiale'!E50</f>
        <v>0</v>
      </c>
      <c r="H28" s="213">
        <f>'Situation initiale'!F50</f>
        <v>0</v>
      </c>
      <c r="I28" s="212">
        <f>'Situation initiale'!G50</f>
        <v>0</v>
      </c>
      <c r="J28" s="214">
        <f>'Situation initiale'!H50</f>
        <v>0</v>
      </c>
      <c r="K28" s="213">
        <f>'Situation initiale'!I50</f>
        <v>0</v>
      </c>
      <c r="L28" s="18">
        <f t="shared" si="1"/>
        <v>0</v>
      </c>
      <c r="M28" s="236"/>
      <c r="N28" s="237"/>
      <c r="O28" s="236"/>
      <c r="P28" s="113">
        <f t="shared" si="2"/>
        <v>0.56524999999999992</v>
      </c>
      <c r="Q28" s="124">
        <f>IFERROR(VLOOKUP(K28,Données!$A$3:$B$10,2,0),0)</f>
        <v>0</v>
      </c>
      <c r="R28" s="124">
        <f t="shared" si="3"/>
        <v>0</v>
      </c>
      <c r="S28" s="18">
        <f>G28-'Situation initiale'!E50</f>
        <v>0</v>
      </c>
      <c r="T28" s="156" t="str">
        <f>IF(S28&lt;0,('Situation initiale'!J50*'Situation initiale'!M$37*duree_chauf*24/1000*(Temp_SI-Temp_ext))/(deperd_init+pertes_chau_init)*conso_init-('Situation rénovée'!L28*'Situation rénovée'!N$15*duree_chauf*24/1000*(Temp_SR-Temp_ext))/(deperd_reno+pertes_chau_reno)*conso_reno,"-")</f>
        <v>-</v>
      </c>
      <c r="U28" s="18" t="str">
        <f>IF(S28&lt;0,('Situation initiale'!J50*'Situation initiale'!M$37*duree_chauf*24/1000*(Temp_SI-Temp_ext))/(deperd_init+pertes_chau_init)*conso_init*cout_vect_init-('Situation rénovée'!L28*'Situation rénovée'!N$15*duree_chauf*24/1000*(Temp_SR-Temp_ext))/(deperd_reno+pertes_chau_reno)*conso_reno*cout_vect_reno,"-")</f>
        <v>-</v>
      </c>
      <c r="V28" s="18" t="str">
        <f t="shared" si="4"/>
        <v>-</v>
      </c>
      <c r="W28" s="10"/>
      <c r="X28" s="10"/>
      <c r="Y28" s="10"/>
      <c r="Z28" s="10"/>
      <c r="AA28" s="10"/>
      <c r="AB28" s="10"/>
      <c r="AC28" s="10"/>
      <c r="AD28" s="10"/>
      <c r="AE28" s="10"/>
      <c r="AF28" s="10"/>
      <c r="AG28" s="10"/>
      <c r="AH28" s="10"/>
      <c r="AI28" s="10"/>
      <c r="AJ28" s="10"/>
      <c r="AK28" s="10"/>
      <c r="AL28" s="10"/>
      <c r="AM28" s="10"/>
      <c r="AN28" s="10"/>
      <c r="AO28" s="10"/>
      <c r="AP28" s="10"/>
      <c r="AQ28" s="10"/>
      <c r="AR28" s="10"/>
    </row>
    <row r="29" spans="1:44" ht="12" hidden="1" customHeight="1" outlineLevel="1" x14ac:dyDescent="0.25">
      <c r="A29" s="10"/>
      <c r="B29" s="238"/>
      <c r="C29" s="81"/>
      <c r="D29" s="57" t="str">
        <f>'Situation initiale'!D51</f>
        <v>Fenêtre 15</v>
      </c>
      <c r="E29" s="17"/>
      <c r="F29" s="156">
        <f t="shared" si="0"/>
        <v>0</v>
      </c>
      <c r="G29" s="212">
        <f>'Situation initiale'!E51</f>
        <v>0</v>
      </c>
      <c r="H29" s="213">
        <f>'Situation initiale'!F51</f>
        <v>0</v>
      </c>
      <c r="I29" s="212">
        <f>'Situation initiale'!G51</f>
        <v>0</v>
      </c>
      <c r="J29" s="214">
        <f>'Situation initiale'!H51</f>
        <v>0</v>
      </c>
      <c r="K29" s="213">
        <f>'Situation initiale'!I51</f>
        <v>0</v>
      </c>
      <c r="L29" s="18">
        <f t="shared" si="1"/>
        <v>0</v>
      </c>
      <c r="M29" s="236"/>
      <c r="N29" s="237"/>
      <c r="O29" s="236"/>
      <c r="P29" s="113">
        <f t="shared" si="2"/>
        <v>0.56524999999999992</v>
      </c>
      <c r="Q29" s="124">
        <f>IFERROR(VLOOKUP(K29,Données!$A$3:$B$10,2,0),0)</f>
        <v>0</v>
      </c>
      <c r="R29" s="124">
        <f t="shared" si="3"/>
        <v>0</v>
      </c>
      <c r="S29" s="18">
        <f>G29-'Situation initiale'!E51</f>
        <v>0</v>
      </c>
      <c r="T29" s="156" t="str">
        <f>IF(S29&lt;0,('Situation initiale'!J51*'Situation initiale'!M$37*duree_chauf*24/1000*(Temp_SI-Temp_ext))/(deperd_init+pertes_chau_init)*conso_init-('Situation rénovée'!L29*'Situation rénovée'!N$15*duree_chauf*24/1000*(Temp_SR-Temp_ext))/(deperd_reno+pertes_chau_reno)*conso_reno,"-")</f>
        <v>-</v>
      </c>
      <c r="U29" s="18" t="str">
        <f>IF(S29&lt;0,('Situation initiale'!J51*'Situation initiale'!M$37*duree_chauf*24/1000*(Temp_SI-Temp_ext))/(deperd_init+pertes_chau_init)*conso_init*cout_vect_init-('Situation rénovée'!L29*'Situation rénovée'!N$15*duree_chauf*24/1000*(Temp_SR-Temp_ext))/(deperd_reno+pertes_chau_reno)*conso_reno*cout_vect_reno,"-")</f>
        <v>-</v>
      </c>
      <c r="V29" s="18" t="str">
        <f t="shared" si="4"/>
        <v>-</v>
      </c>
      <c r="W29" s="10"/>
      <c r="X29" s="10"/>
      <c r="Y29" s="10"/>
      <c r="Z29" s="10"/>
      <c r="AA29" s="10"/>
      <c r="AB29" s="10"/>
      <c r="AC29" s="10"/>
      <c r="AD29" s="10"/>
      <c r="AE29" s="10"/>
      <c r="AF29" s="10"/>
      <c r="AG29" s="10"/>
      <c r="AH29" s="10"/>
      <c r="AI29" s="10"/>
      <c r="AJ29" s="10"/>
      <c r="AK29" s="10"/>
      <c r="AL29" s="10"/>
      <c r="AM29" s="10"/>
      <c r="AN29" s="10"/>
      <c r="AO29" s="10"/>
      <c r="AP29" s="10"/>
      <c r="AQ29" s="10"/>
      <c r="AR29" s="10"/>
    </row>
    <row r="30" spans="1:44" ht="12" hidden="1" customHeight="1" outlineLevel="1" x14ac:dyDescent="0.25">
      <c r="A30" s="10"/>
      <c r="B30" s="238"/>
      <c r="C30" s="81"/>
      <c r="D30" s="57" t="str">
        <f>'Situation initiale'!D52</f>
        <v>Fenêtre 16</v>
      </c>
      <c r="E30" s="17"/>
      <c r="F30" s="156">
        <f t="shared" si="0"/>
        <v>0</v>
      </c>
      <c r="G30" s="212">
        <f>'Situation initiale'!E52</f>
        <v>0</v>
      </c>
      <c r="H30" s="213">
        <f>'Situation initiale'!F52</f>
        <v>0</v>
      </c>
      <c r="I30" s="212">
        <f>'Situation initiale'!G52</f>
        <v>0</v>
      </c>
      <c r="J30" s="214">
        <f>'Situation initiale'!H52</f>
        <v>0</v>
      </c>
      <c r="K30" s="213">
        <f>'Situation initiale'!I52</f>
        <v>0</v>
      </c>
      <c r="L30" s="18">
        <f t="shared" si="1"/>
        <v>0</v>
      </c>
      <c r="M30" s="236"/>
      <c r="N30" s="237"/>
      <c r="O30" s="236"/>
      <c r="P30" s="113">
        <f t="shared" si="2"/>
        <v>0.56524999999999992</v>
      </c>
      <c r="Q30" s="124">
        <f>IFERROR(VLOOKUP(K30,Données!$A$3:$B$10,2,0),0)</f>
        <v>0</v>
      </c>
      <c r="R30" s="124">
        <f t="shared" si="3"/>
        <v>0</v>
      </c>
      <c r="S30" s="18">
        <f>G30-'Situation initiale'!E52</f>
        <v>0</v>
      </c>
      <c r="T30" s="156" t="str">
        <f>IF(S30&lt;0,('Situation initiale'!J52*'Situation initiale'!M$37*duree_chauf*24/1000*(Temp_SI-Temp_ext))/(deperd_init+pertes_chau_init)*conso_init-('Situation rénovée'!L30*'Situation rénovée'!N$15*duree_chauf*24/1000*(Temp_SR-Temp_ext))/(deperd_reno+pertes_chau_reno)*conso_reno,"-")</f>
        <v>-</v>
      </c>
      <c r="U30" s="18" t="str">
        <f>IF(S30&lt;0,('Situation initiale'!J52*'Situation initiale'!M$37*duree_chauf*24/1000*(Temp_SI-Temp_ext))/(deperd_init+pertes_chau_init)*conso_init*cout_vect_init-('Situation rénovée'!L30*'Situation rénovée'!N$15*duree_chauf*24/1000*(Temp_SR-Temp_ext))/(deperd_reno+pertes_chau_reno)*conso_reno*cout_vect_reno,"-")</f>
        <v>-</v>
      </c>
      <c r="V30" s="18" t="str">
        <f t="shared" si="4"/>
        <v>-</v>
      </c>
      <c r="W30" s="10"/>
      <c r="X30" s="10"/>
      <c r="Y30" s="10"/>
      <c r="Z30" s="10"/>
      <c r="AA30" s="10"/>
      <c r="AB30" s="10"/>
      <c r="AC30" s="10"/>
      <c r="AD30" s="10"/>
      <c r="AE30" s="10"/>
      <c r="AF30" s="10"/>
      <c r="AG30" s="10"/>
      <c r="AH30" s="10"/>
      <c r="AI30" s="10"/>
      <c r="AJ30" s="10"/>
      <c r="AK30" s="10"/>
      <c r="AL30" s="10"/>
      <c r="AM30" s="10"/>
      <c r="AN30" s="10"/>
      <c r="AO30" s="10"/>
      <c r="AP30" s="10"/>
      <c r="AQ30" s="10"/>
      <c r="AR30" s="10"/>
    </row>
    <row r="31" spans="1:44" ht="12" hidden="1" customHeight="1" outlineLevel="1" x14ac:dyDescent="0.25">
      <c r="A31" s="10"/>
      <c r="B31" s="238"/>
      <c r="C31" s="81"/>
      <c r="D31" s="57" t="str">
        <f>'Situation initiale'!D53</f>
        <v>Fenêtre 17</v>
      </c>
      <c r="E31" s="17"/>
      <c r="F31" s="156">
        <f t="shared" si="0"/>
        <v>0</v>
      </c>
      <c r="G31" s="212">
        <f>'Situation initiale'!E53</f>
        <v>0</v>
      </c>
      <c r="H31" s="213">
        <f>'Situation initiale'!F53</f>
        <v>0</v>
      </c>
      <c r="I31" s="212">
        <f>'Situation initiale'!G53</f>
        <v>0</v>
      </c>
      <c r="J31" s="214">
        <f>'Situation initiale'!H53</f>
        <v>0</v>
      </c>
      <c r="K31" s="213">
        <f>'Situation initiale'!I53</f>
        <v>0</v>
      </c>
      <c r="L31" s="18">
        <f t="shared" si="1"/>
        <v>0</v>
      </c>
      <c r="M31" s="236"/>
      <c r="N31" s="237"/>
      <c r="O31" s="236"/>
      <c r="P31" s="113">
        <f t="shared" si="2"/>
        <v>0.56524999999999992</v>
      </c>
      <c r="Q31" s="124">
        <f>IFERROR(VLOOKUP(K31,Données!$A$3:$B$10,2,0),0)</f>
        <v>0</v>
      </c>
      <c r="R31" s="124">
        <f t="shared" si="3"/>
        <v>0</v>
      </c>
      <c r="S31" s="18">
        <f>G31-'Situation initiale'!E53</f>
        <v>0</v>
      </c>
      <c r="T31" s="156" t="str">
        <f>IF(S31&lt;0,('Situation initiale'!J53*'Situation initiale'!M$37*duree_chauf*24/1000*(Temp_SI-Temp_ext))/(deperd_init+pertes_chau_init)*conso_init-('Situation rénovée'!L31*'Situation rénovée'!N$15*duree_chauf*24/1000*(Temp_SR-Temp_ext))/(deperd_reno+pertes_chau_reno)*conso_reno,"-")</f>
        <v>-</v>
      </c>
      <c r="U31" s="18" t="str">
        <f>IF(S31&lt;0,('Situation initiale'!J53*'Situation initiale'!M$37*duree_chauf*24/1000*(Temp_SI-Temp_ext))/(deperd_init+pertes_chau_init)*conso_init*cout_vect_init-('Situation rénovée'!L31*'Situation rénovée'!N$15*duree_chauf*24/1000*(Temp_SR-Temp_ext))/(deperd_reno+pertes_chau_reno)*conso_reno*cout_vect_reno,"-")</f>
        <v>-</v>
      </c>
      <c r="V31" s="18" t="str">
        <f t="shared" si="4"/>
        <v>-</v>
      </c>
      <c r="W31" s="10"/>
      <c r="X31" s="10"/>
      <c r="Y31" s="10"/>
      <c r="Z31" s="10"/>
      <c r="AA31" s="10"/>
      <c r="AB31" s="10"/>
      <c r="AC31" s="10"/>
      <c r="AD31" s="10"/>
      <c r="AE31" s="10"/>
      <c r="AF31" s="10"/>
      <c r="AG31" s="10"/>
      <c r="AH31" s="10"/>
      <c r="AI31" s="10"/>
      <c r="AJ31" s="10"/>
      <c r="AK31" s="10"/>
      <c r="AL31" s="10"/>
      <c r="AM31" s="10"/>
      <c r="AN31" s="10"/>
      <c r="AO31" s="10"/>
      <c r="AP31" s="10"/>
      <c r="AQ31" s="10"/>
      <c r="AR31" s="10"/>
    </row>
    <row r="32" spans="1:44" ht="12" hidden="1" customHeight="1" outlineLevel="1" x14ac:dyDescent="0.25">
      <c r="A32" s="10"/>
      <c r="B32" s="238"/>
      <c r="C32" s="81"/>
      <c r="D32" s="57" t="str">
        <f>'Situation initiale'!D54</f>
        <v>Fenêtre 18</v>
      </c>
      <c r="E32" s="17"/>
      <c r="F32" s="156">
        <f t="shared" si="0"/>
        <v>0</v>
      </c>
      <c r="G32" s="212">
        <f>'Situation initiale'!E54</f>
        <v>0</v>
      </c>
      <c r="H32" s="213">
        <f>'Situation initiale'!F54</f>
        <v>0</v>
      </c>
      <c r="I32" s="212">
        <f>'Situation initiale'!G54</f>
        <v>0</v>
      </c>
      <c r="J32" s="214">
        <f>'Situation initiale'!H54</f>
        <v>0</v>
      </c>
      <c r="K32" s="213">
        <f>'Situation initiale'!I54</f>
        <v>0</v>
      </c>
      <c r="L32" s="18">
        <f t="shared" si="1"/>
        <v>0</v>
      </c>
      <c r="M32" s="236"/>
      <c r="N32" s="237"/>
      <c r="O32" s="236"/>
      <c r="P32" s="113">
        <f t="shared" si="2"/>
        <v>0.56524999999999992</v>
      </c>
      <c r="Q32" s="124">
        <f>IFERROR(VLOOKUP(K32,Données!$A$3:$B$10,2,0),0)</f>
        <v>0</v>
      </c>
      <c r="R32" s="124">
        <f t="shared" si="3"/>
        <v>0</v>
      </c>
      <c r="S32" s="18">
        <f>G32-'Situation initiale'!E54</f>
        <v>0</v>
      </c>
      <c r="T32" s="156" t="str">
        <f>IF(S32&lt;0,('Situation initiale'!J54*'Situation initiale'!M$37*duree_chauf*24/1000*(Temp_SI-Temp_ext))/(deperd_init+pertes_chau_init)*conso_init-('Situation rénovée'!L32*'Situation rénovée'!N$15*duree_chauf*24/1000*(Temp_SR-Temp_ext))/(deperd_reno+pertes_chau_reno)*conso_reno,"-")</f>
        <v>-</v>
      </c>
      <c r="U32" s="18" t="str">
        <f>IF(S32&lt;0,('Situation initiale'!J54*'Situation initiale'!M$37*duree_chauf*24/1000*(Temp_SI-Temp_ext))/(deperd_init+pertes_chau_init)*conso_init*cout_vect_init-('Situation rénovée'!L32*'Situation rénovée'!N$15*duree_chauf*24/1000*(Temp_SR-Temp_ext))/(deperd_reno+pertes_chau_reno)*conso_reno*cout_vect_reno,"-")</f>
        <v>-</v>
      </c>
      <c r="V32" s="18" t="str">
        <f t="shared" si="4"/>
        <v>-</v>
      </c>
      <c r="W32" s="10"/>
      <c r="X32" s="10"/>
      <c r="Y32" s="10"/>
      <c r="Z32" s="10"/>
      <c r="AA32" s="10"/>
      <c r="AB32" s="10"/>
      <c r="AC32" s="10"/>
      <c r="AD32" s="10"/>
      <c r="AE32" s="10"/>
      <c r="AF32" s="10"/>
      <c r="AG32" s="10"/>
      <c r="AH32" s="10"/>
      <c r="AI32" s="10"/>
      <c r="AJ32" s="10"/>
      <c r="AK32" s="10"/>
      <c r="AL32" s="10"/>
      <c r="AM32" s="10"/>
      <c r="AN32" s="10"/>
      <c r="AO32" s="10"/>
      <c r="AP32" s="10"/>
      <c r="AQ32" s="10"/>
      <c r="AR32" s="10"/>
    </row>
    <row r="33" spans="1:44" ht="12" hidden="1" customHeight="1" outlineLevel="1" x14ac:dyDescent="0.25">
      <c r="A33" s="10"/>
      <c r="B33" s="238"/>
      <c r="C33" s="81"/>
      <c r="D33" s="57" t="str">
        <f>'Situation initiale'!D55</f>
        <v>Fenêtre 19</v>
      </c>
      <c r="E33" s="17"/>
      <c r="F33" s="156">
        <f t="shared" si="0"/>
        <v>0</v>
      </c>
      <c r="G33" s="212">
        <f>'Situation initiale'!E55</f>
        <v>0</v>
      </c>
      <c r="H33" s="213">
        <f>'Situation initiale'!F55</f>
        <v>0</v>
      </c>
      <c r="I33" s="212">
        <f>'Situation initiale'!G55</f>
        <v>0</v>
      </c>
      <c r="J33" s="214">
        <f>'Situation initiale'!H55</f>
        <v>0</v>
      </c>
      <c r="K33" s="213">
        <f>'Situation initiale'!I55</f>
        <v>0</v>
      </c>
      <c r="L33" s="18">
        <f t="shared" si="1"/>
        <v>0</v>
      </c>
      <c r="M33" s="236"/>
      <c r="N33" s="237"/>
      <c r="O33" s="236"/>
      <c r="P33" s="113">
        <f t="shared" si="2"/>
        <v>0.56524999999999992</v>
      </c>
      <c r="Q33" s="124">
        <f>IFERROR(VLOOKUP(K33,Données!$A$3:$B$10,2,0),0)</f>
        <v>0</v>
      </c>
      <c r="R33" s="124">
        <f t="shared" si="3"/>
        <v>0</v>
      </c>
      <c r="S33" s="18">
        <f>G33-'Situation initiale'!E55</f>
        <v>0</v>
      </c>
      <c r="T33" s="156" t="str">
        <f>IF(S33&lt;0,('Situation initiale'!J55*'Situation initiale'!M$37*duree_chauf*24/1000*(Temp_SI-Temp_ext))/(deperd_init+pertes_chau_init)*conso_init-('Situation rénovée'!L33*'Situation rénovée'!N$15*duree_chauf*24/1000*(Temp_SR-Temp_ext))/(deperd_reno+pertes_chau_reno)*conso_reno,"-")</f>
        <v>-</v>
      </c>
      <c r="U33" s="18" t="str">
        <f>IF(S33&lt;0,('Situation initiale'!J55*'Situation initiale'!M$37*duree_chauf*24/1000*(Temp_SI-Temp_ext))/(deperd_init+pertes_chau_init)*conso_init*cout_vect_init-('Situation rénovée'!L33*'Situation rénovée'!N$15*duree_chauf*24/1000*(Temp_SR-Temp_ext))/(deperd_reno+pertes_chau_reno)*conso_reno*cout_vect_reno,"-")</f>
        <v>-</v>
      </c>
      <c r="V33" s="18" t="str">
        <f t="shared" si="4"/>
        <v>-</v>
      </c>
      <c r="W33" s="10"/>
      <c r="X33" s="10"/>
      <c r="Y33" s="10"/>
      <c r="Z33" s="10"/>
      <c r="AA33" s="10"/>
      <c r="AB33" s="10"/>
      <c r="AC33" s="10"/>
      <c r="AD33" s="10"/>
      <c r="AE33" s="10"/>
      <c r="AF33" s="10"/>
      <c r="AG33" s="10"/>
      <c r="AH33" s="10"/>
      <c r="AI33" s="10"/>
      <c r="AJ33" s="10"/>
      <c r="AK33" s="10"/>
      <c r="AL33" s="10"/>
      <c r="AM33" s="10"/>
      <c r="AN33" s="10"/>
      <c r="AO33" s="10"/>
      <c r="AP33" s="10"/>
      <c r="AQ33" s="10"/>
      <c r="AR33" s="10"/>
    </row>
    <row r="34" spans="1:44" ht="12" hidden="1" customHeight="1" outlineLevel="1" x14ac:dyDescent="0.25">
      <c r="A34" s="10"/>
      <c r="B34" s="238"/>
      <c r="C34" s="81"/>
      <c r="D34" s="57" t="str">
        <f>'Situation initiale'!D56</f>
        <v>Fenêtre 20</v>
      </c>
      <c r="E34" s="17"/>
      <c r="F34" s="156">
        <f t="shared" si="0"/>
        <v>0</v>
      </c>
      <c r="G34" s="212">
        <f>'Situation initiale'!E56</f>
        <v>0</v>
      </c>
      <c r="H34" s="213">
        <f>'Situation initiale'!F56</f>
        <v>0</v>
      </c>
      <c r="I34" s="212">
        <f>'Situation initiale'!G56</f>
        <v>0</v>
      </c>
      <c r="J34" s="214">
        <f>'Situation initiale'!H56</f>
        <v>0</v>
      </c>
      <c r="K34" s="213">
        <f>'Situation initiale'!I56</f>
        <v>0</v>
      </c>
      <c r="L34" s="18">
        <f t="shared" si="1"/>
        <v>0</v>
      </c>
      <c r="M34" s="236"/>
      <c r="N34" s="237"/>
      <c r="O34" s="236"/>
      <c r="P34" s="113">
        <f t="shared" si="2"/>
        <v>0.56524999999999992</v>
      </c>
      <c r="Q34" s="124">
        <f>IFERROR(VLOOKUP(K34,Données!$A$3:$B$10,2,0),0)</f>
        <v>0</v>
      </c>
      <c r="R34" s="124">
        <f t="shared" si="3"/>
        <v>0</v>
      </c>
      <c r="S34" s="18">
        <f>G34-'Situation initiale'!E56</f>
        <v>0</v>
      </c>
      <c r="T34" s="156" t="str">
        <f>IF(S34&lt;0,('Situation initiale'!J56*'Situation initiale'!M$37*duree_chauf*24/1000*(Temp_SI-Temp_ext))/(deperd_init+pertes_chau_init)*conso_init-('Situation rénovée'!L34*'Situation rénovée'!N$15*duree_chauf*24/1000*(Temp_SR-Temp_ext))/(deperd_reno+pertes_chau_reno)*conso_reno,"-")</f>
        <v>-</v>
      </c>
      <c r="U34" s="18" t="str">
        <f>IF(S34&lt;0,('Situation initiale'!J56*'Situation initiale'!M$37*duree_chauf*24/1000*(Temp_SI-Temp_ext))/(deperd_init+pertes_chau_init)*conso_init*cout_vect_init-('Situation rénovée'!L34*'Situation rénovée'!N$15*duree_chauf*24/1000*(Temp_SR-Temp_ext))/(deperd_reno+pertes_chau_reno)*conso_reno*cout_vect_reno,"-")</f>
        <v>-</v>
      </c>
      <c r="V34" s="18" t="str">
        <f t="shared" si="4"/>
        <v>-</v>
      </c>
      <c r="W34" s="10"/>
      <c r="X34" s="10"/>
      <c r="Y34" s="10"/>
      <c r="Z34" s="10"/>
      <c r="AA34" s="10"/>
      <c r="AB34" s="10"/>
      <c r="AC34" s="10"/>
      <c r="AD34" s="10"/>
      <c r="AE34" s="10"/>
      <c r="AF34" s="10"/>
      <c r="AG34" s="10"/>
      <c r="AH34" s="10"/>
      <c r="AI34" s="10"/>
      <c r="AJ34" s="10"/>
      <c r="AK34" s="10"/>
      <c r="AL34" s="10"/>
      <c r="AM34" s="10"/>
      <c r="AN34" s="10"/>
      <c r="AO34" s="10"/>
      <c r="AP34" s="10"/>
      <c r="AQ34" s="10"/>
      <c r="AR34" s="10"/>
    </row>
    <row r="35" spans="1:44" ht="12" hidden="1" customHeight="1" outlineLevel="1" x14ac:dyDescent="0.25">
      <c r="A35" s="10"/>
      <c r="B35" s="238"/>
      <c r="C35" s="81"/>
      <c r="D35" s="57" t="str">
        <f>'Situation initiale'!D57</f>
        <v>Fenêtre 21</v>
      </c>
      <c r="E35" s="17"/>
      <c r="F35" s="156">
        <f t="shared" si="0"/>
        <v>0</v>
      </c>
      <c r="G35" s="212">
        <f>'Situation initiale'!E57</f>
        <v>0</v>
      </c>
      <c r="H35" s="213">
        <f>'Situation initiale'!F57</f>
        <v>0</v>
      </c>
      <c r="I35" s="212">
        <f>'Situation initiale'!G57</f>
        <v>0</v>
      </c>
      <c r="J35" s="214">
        <f>'Situation initiale'!H57</f>
        <v>0</v>
      </c>
      <c r="K35" s="213">
        <f>'Situation initiale'!I57</f>
        <v>0</v>
      </c>
      <c r="L35" s="18">
        <f t="shared" si="1"/>
        <v>0</v>
      </c>
      <c r="M35" s="236"/>
      <c r="N35" s="237"/>
      <c r="O35" s="236"/>
      <c r="P35" s="113">
        <f t="shared" si="2"/>
        <v>0.56524999999999992</v>
      </c>
      <c r="Q35" s="124">
        <f>IFERROR(VLOOKUP(K35,Données!$A$3:$B$10,2,0),0)</f>
        <v>0</v>
      </c>
      <c r="R35" s="124">
        <f t="shared" si="3"/>
        <v>0</v>
      </c>
      <c r="S35" s="18">
        <f>G35-'Situation initiale'!E57</f>
        <v>0</v>
      </c>
      <c r="T35" s="156" t="str">
        <f>IF(S35&lt;0,('Situation initiale'!J57*'Situation initiale'!M$37*duree_chauf*24/1000*(Temp_SI-Temp_ext))/(deperd_init+pertes_chau_init)*conso_init-('Situation rénovée'!L35*'Situation rénovée'!N$15*duree_chauf*24/1000*(Temp_SR-Temp_ext))/(deperd_reno+pertes_chau_reno)*conso_reno,"-")</f>
        <v>-</v>
      </c>
      <c r="U35" s="18" t="str">
        <f>IF(S35&lt;0,('Situation initiale'!J57*'Situation initiale'!M$37*duree_chauf*24/1000*(Temp_SI-Temp_ext))/(deperd_init+pertes_chau_init)*conso_init*cout_vect_init-('Situation rénovée'!L35*'Situation rénovée'!N$15*duree_chauf*24/1000*(Temp_SR-Temp_ext))/(deperd_reno+pertes_chau_reno)*conso_reno*cout_vect_reno,"-")</f>
        <v>-</v>
      </c>
      <c r="V35" s="18" t="str">
        <f t="shared" si="4"/>
        <v>-</v>
      </c>
      <c r="W35" s="10"/>
      <c r="X35" s="10"/>
      <c r="Y35" s="10"/>
      <c r="Z35" s="10"/>
      <c r="AA35" s="10"/>
      <c r="AB35" s="10"/>
      <c r="AC35" s="10"/>
      <c r="AD35" s="10"/>
      <c r="AE35" s="10"/>
      <c r="AF35" s="10"/>
      <c r="AG35" s="10"/>
      <c r="AH35" s="10"/>
      <c r="AI35" s="10"/>
      <c r="AJ35" s="10"/>
      <c r="AK35" s="10"/>
      <c r="AL35" s="10"/>
      <c r="AM35" s="10"/>
      <c r="AN35" s="10"/>
      <c r="AO35" s="10"/>
      <c r="AP35" s="10"/>
      <c r="AQ35" s="10"/>
      <c r="AR35" s="10"/>
    </row>
    <row r="36" spans="1:44" ht="12" hidden="1" customHeight="1" outlineLevel="1" x14ac:dyDescent="0.25">
      <c r="A36" s="10"/>
      <c r="B36" s="238"/>
      <c r="C36" s="81"/>
      <c r="D36" s="57" t="str">
        <f>'Situation initiale'!D58</f>
        <v>Fenêtre 22</v>
      </c>
      <c r="E36" s="17"/>
      <c r="F36" s="156">
        <f t="shared" si="0"/>
        <v>0</v>
      </c>
      <c r="G36" s="212">
        <f>'Situation initiale'!E58</f>
        <v>0</v>
      </c>
      <c r="H36" s="213">
        <f>'Situation initiale'!F58</f>
        <v>0</v>
      </c>
      <c r="I36" s="212">
        <f>'Situation initiale'!G58</f>
        <v>0</v>
      </c>
      <c r="J36" s="214">
        <f>'Situation initiale'!H58</f>
        <v>0</v>
      </c>
      <c r="K36" s="213">
        <f>'Situation initiale'!I58</f>
        <v>0</v>
      </c>
      <c r="L36" s="18">
        <f t="shared" si="1"/>
        <v>0</v>
      </c>
      <c r="M36" s="236"/>
      <c r="N36" s="237"/>
      <c r="O36" s="236"/>
      <c r="P36" s="113">
        <f t="shared" si="2"/>
        <v>0.56524999999999992</v>
      </c>
      <c r="Q36" s="124">
        <f>IFERROR(VLOOKUP(K36,Données!$A$3:$B$10,2,0),0)</f>
        <v>0</v>
      </c>
      <c r="R36" s="124">
        <f t="shared" si="3"/>
        <v>0</v>
      </c>
      <c r="S36" s="18">
        <f>G36-'Situation initiale'!E58</f>
        <v>0</v>
      </c>
      <c r="T36" s="156" t="str">
        <f>IF(S36&lt;0,('Situation initiale'!J58*'Situation initiale'!M$37*duree_chauf*24/1000*(Temp_SI-Temp_ext))/(deperd_init+pertes_chau_init)*conso_init-('Situation rénovée'!L36*'Situation rénovée'!N$15*duree_chauf*24/1000*(Temp_SR-Temp_ext))/(deperd_reno+pertes_chau_reno)*conso_reno,"-")</f>
        <v>-</v>
      </c>
      <c r="U36" s="18" t="str">
        <f>IF(S36&lt;0,('Situation initiale'!J58*'Situation initiale'!M$37*duree_chauf*24/1000*(Temp_SI-Temp_ext))/(deperd_init+pertes_chau_init)*conso_init*cout_vect_init-('Situation rénovée'!L36*'Situation rénovée'!N$15*duree_chauf*24/1000*(Temp_SR-Temp_ext))/(deperd_reno+pertes_chau_reno)*conso_reno*cout_vect_reno,"-")</f>
        <v>-</v>
      </c>
      <c r="V36" s="18" t="str">
        <f t="shared" si="4"/>
        <v>-</v>
      </c>
      <c r="W36" s="10"/>
      <c r="X36" s="10"/>
      <c r="Y36" s="10"/>
      <c r="Z36" s="10"/>
      <c r="AA36" s="10"/>
      <c r="AB36" s="10"/>
      <c r="AC36" s="10"/>
      <c r="AD36" s="10"/>
      <c r="AE36" s="10"/>
      <c r="AF36" s="10"/>
      <c r="AG36" s="10"/>
      <c r="AH36" s="10"/>
      <c r="AI36" s="10"/>
      <c r="AJ36" s="10"/>
      <c r="AK36" s="10"/>
      <c r="AL36" s="10"/>
      <c r="AM36" s="10"/>
      <c r="AN36" s="10"/>
      <c r="AO36" s="10"/>
      <c r="AP36" s="10"/>
      <c r="AQ36" s="10"/>
      <c r="AR36" s="10"/>
    </row>
    <row r="37" spans="1:44" ht="12" hidden="1" customHeight="1" outlineLevel="1" x14ac:dyDescent="0.25">
      <c r="A37" s="10"/>
      <c r="B37" s="238"/>
      <c r="C37" s="81"/>
      <c r="D37" s="57" t="str">
        <f>'Situation initiale'!D59</f>
        <v>Fenêtre 23</v>
      </c>
      <c r="E37" s="17"/>
      <c r="F37" s="156">
        <f t="shared" si="0"/>
        <v>0</v>
      </c>
      <c r="G37" s="212">
        <f>'Situation initiale'!E59</f>
        <v>0</v>
      </c>
      <c r="H37" s="213">
        <f>'Situation initiale'!F59</f>
        <v>0</v>
      </c>
      <c r="I37" s="212">
        <f>'Situation initiale'!G59</f>
        <v>0</v>
      </c>
      <c r="J37" s="214">
        <f>'Situation initiale'!H59</f>
        <v>0</v>
      </c>
      <c r="K37" s="213">
        <f>'Situation initiale'!I59</f>
        <v>0</v>
      </c>
      <c r="L37" s="18">
        <f t="shared" si="1"/>
        <v>0</v>
      </c>
      <c r="M37" s="236"/>
      <c r="N37" s="237"/>
      <c r="O37" s="236"/>
      <c r="P37" s="113">
        <f t="shared" si="2"/>
        <v>0.56524999999999992</v>
      </c>
      <c r="Q37" s="124">
        <f>IFERROR(VLOOKUP(K37,Données!$A$3:$B$10,2,0),0)</f>
        <v>0</v>
      </c>
      <c r="R37" s="124">
        <f t="shared" si="3"/>
        <v>0</v>
      </c>
      <c r="S37" s="18">
        <f>G37-'Situation initiale'!E59</f>
        <v>0</v>
      </c>
      <c r="T37" s="156" t="str">
        <f>IF(S37&lt;0,('Situation initiale'!J59*'Situation initiale'!M$37*duree_chauf*24/1000*(Temp_SI-Temp_ext))/(deperd_init+pertes_chau_init)*conso_init-('Situation rénovée'!L37*'Situation rénovée'!N$15*duree_chauf*24/1000*(Temp_SR-Temp_ext))/(deperd_reno+pertes_chau_reno)*conso_reno,"-")</f>
        <v>-</v>
      </c>
      <c r="U37" s="18" t="str">
        <f>IF(S37&lt;0,('Situation initiale'!J59*'Situation initiale'!M$37*duree_chauf*24/1000*(Temp_SI-Temp_ext))/(deperd_init+pertes_chau_init)*conso_init*cout_vect_init-('Situation rénovée'!L37*'Situation rénovée'!N$15*duree_chauf*24/1000*(Temp_SR-Temp_ext))/(deperd_reno+pertes_chau_reno)*conso_reno*cout_vect_reno,"-")</f>
        <v>-</v>
      </c>
      <c r="V37" s="18" t="str">
        <f t="shared" si="4"/>
        <v>-</v>
      </c>
      <c r="W37" s="10"/>
      <c r="X37" s="10"/>
      <c r="Y37" s="10"/>
      <c r="Z37" s="10"/>
      <c r="AA37" s="10"/>
      <c r="AB37" s="10"/>
      <c r="AC37" s="10"/>
      <c r="AD37" s="10"/>
      <c r="AE37" s="10"/>
      <c r="AF37" s="10"/>
      <c r="AG37" s="10"/>
      <c r="AH37" s="10"/>
      <c r="AI37" s="10"/>
      <c r="AJ37" s="10"/>
      <c r="AK37" s="10"/>
      <c r="AL37" s="10"/>
      <c r="AM37" s="10"/>
      <c r="AN37" s="10"/>
      <c r="AO37" s="10"/>
      <c r="AP37" s="10"/>
      <c r="AQ37" s="10"/>
      <c r="AR37" s="10"/>
    </row>
    <row r="38" spans="1:44" ht="12" hidden="1" customHeight="1" outlineLevel="1" x14ac:dyDescent="0.25">
      <c r="A38" s="10"/>
      <c r="B38" s="238"/>
      <c r="C38" s="81"/>
      <c r="D38" s="57" t="str">
        <f>'Situation initiale'!D60</f>
        <v>Fenêtre 24</v>
      </c>
      <c r="E38" s="17"/>
      <c r="F38" s="156">
        <f t="shared" si="0"/>
        <v>0</v>
      </c>
      <c r="G38" s="212">
        <f>'Situation initiale'!E60</f>
        <v>0</v>
      </c>
      <c r="H38" s="213">
        <f>'Situation initiale'!F60</f>
        <v>0</v>
      </c>
      <c r="I38" s="212">
        <f>'Situation initiale'!G60</f>
        <v>0</v>
      </c>
      <c r="J38" s="214">
        <f>'Situation initiale'!H60</f>
        <v>0</v>
      </c>
      <c r="K38" s="213">
        <f>'Situation initiale'!I60</f>
        <v>0</v>
      </c>
      <c r="L38" s="18">
        <f t="shared" si="1"/>
        <v>0</v>
      </c>
      <c r="M38" s="236"/>
      <c r="N38" s="237"/>
      <c r="O38" s="236"/>
      <c r="P38" s="113">
        <f t="shared" si="2"/>
        <v>0.56524999999999992</v>
      </c>
      <c r="Q38" s="124">
        <f>IFERROR(VLOOKUP(K38,Données!$A$3:$B$10,2,0),0)</f>
        <v>0</v>
      </c>
      <c r="R38" s="124">
        <f t="shared" si="3"/>
        <v>0</v>
      </c>
      <c r="S38" s="18">
        <f>G38-'Situation initiale'!E60</f>
        <v>0</v>
      </c>
      <c r="T38" s="156" t="str">
        <f>IF(S38&lt;0,('Situation initiale'!J60*'Situation initiale'!M$37*duree_chauf*24/1000*(Temp_SI-Temp_ext))/(deperd_init+pertes_chau_init)*conso_init-('Situation rénovée'!L38*'Situation rénovée'!N$15*duree_chauf*24/1000*(Temp_SR-Temp_ext))/(deperd_reno+pertes_chau_reno)*conso_reno,"-")</f>
        <v>-</v>
      </c>
      <c r="U38" s="18" t="str">
        <f>IF(S38&lt;0,('Situation initiale'!J60*'Situation initiale'!M$37*duree_chauf*24/1000*(Temp_SI-Temp_ext))/(deperd_init+pertes_chau_init)*conso_init*cout_vect_init-('Situation rénovée'!L38*'Situation rénovée'!N$15*duree_chauf*24/1000*(Temp_SR-Temp_ext))/(deperd_reno+pertes_chau_reno)*conso_reno*cout_vect_reno,"-")</f>
        <v>-</v>
      </c>
      <c r="V38" s="18" t="str">
        <f t="shared" si="4"/>
        <v>-</v>
      </c>
      <c r="W38" s="10"/>
      <c r="X38" s="10"/>
      <c r="Y38" s="10"/>
      <c r="Z38" s="10"/>
      <c r="AA38" s="10"/>
      <c r="AB38" s="10"/>
      <c r="AC38" s="10"/>
      <c r="AD38" s="10"/>
      <c r="AE38" s="10"/>
      <c r="AF38" s="10"/>
      <c r="AG38" s="10"/>
      <c r="AH38" s="10"/>
      <c r="AI38" s="10"/>
      <c r="AJ38" s="10"/>
      <c r="AK38" s="10"/>
      <c r="AL38" s="10"/>
      <c r="AM38" s="10"/>
      <c r="AN38" s="10"/>
      <c r="AO38" s="10"/>
      <c r="AP38" s="10"/>
      <c r="AQ38" s="10"/>
      <c r="AR38" s="10"/>
    </row>
    <row r="39" spans="1:44" ht="12" hidden="1" customHeight="1" outlineLevel="1" x14ac:dyDescent="0.25">
      <c r="A39" s="10"/>
      <c r="B39" s="238"/>
      <c r="C39" s="81"/>
      <c r="D39" s="57" t="str">
        <f>'Situation initiale'!D61</f>
        <v>Fenêtre 25</v>
      </c>
      <c r="E39" s="17"/>
      <c r="F39" s="156">
        <f t="shared" si="0"/>
        <v>0</v>
      </c>
      <c r="G39" s="212">
        <f>'Situation initiale'!E61</f>
        <v>0</v>
      </c>
      <c r="H39" s="213">
        <f>'Situation initiale'!F61</f>
        <v>0</v>
      </c>
      <c r="I39" s="212">
        <f>'Situation initiale'!G61</f>
        <v>0</v>
      </c>
      <c r="J39" s="214">
        <f>'Situation initiale'!H61</f>
        <v>0</v>
      </c>
      <c r="K39" s="213">
        <f>'Situation initiale'!I61</f>
        <v>0</v>
      </c>
      <c r="L39" s="18">
        <f t="shared" si="1"/>
        <v>0</v>
      </c>
      <c r="M39" s="236"/>
      <c r="N39" s="237"/>
      <c r="O39" s="236"/>
      <c r="P39" s="113">
        <f t="shared" si="2"/>
        <v>0.56524999999999992</v>
      </c>
      <c r="Q39" s="124">
        <f>IFERROR(VLOOKUP(K39,Données!$A$3:$B$10,2,0),0)</f>
        <v>0</v>
      </c>
      <c r="R39" s="124">
        <f t="shared" si="3"/>
        <v>0</v>
      </c>
      <c r="S39" s="18">
        <f>G39-'Situation initiale'!E61</f>
        <v>0</v>
      </c>
      <c r="T39" s="156" t="str">
        <f>IF(S39&lt;0,('Situation initiale'!J61*'Situation initiale'!M$37*duree_chauf*24/1000*(Temp_SI-Temp_ext))/(deperd_init+pertes_chau_init)*conso_init-('Situation rénovée'!L39*'Situation rénovée'!N$15*duree_chauf*24/1000*(Temp_SR-Temp_ext))/(deperd_reno+pertes_chau_reno)*conso_reno,"-")</f>
        <v>-</v>
      </c>
      <c r="U39" s="18" t="str">
        <f>IF(S39&lt;0,('Situation initiale'!J61*'Situation initiale'!M$37*duree_chauf*24/1000*(Temp_SI-Temp_ext))/(deperd_init+pertes_chau_init)*conso_init*cout_vect_init-('Situation rénovée'!L39*'Situation rénovée'!N$15*duree_chauf*24/1000*(Temp_SR-Temp_ext))/(deperd_reno+pertes_chau_reno)*conso_reno*cout_vect_reno,"-")</f>
        <v>-</v>
      </c>
      <c r="V39" s="18" t="str">
        <f t="shared" si="4"/>
        <v>-</v>
      </c>
      <c r="W39" s="10"/>
      <c r="X39" s="10"/>
      <c r="Y39" s="10"/>
      <c r="Z39" s="10"/>
      <c r="AA39" s="10"/>
      <c r="AB39" s="10"/>
      <c r="AC39" s="10"/>
      <c r="AD39" s="10"/>
      <c r="AE39" s="10"/>
      <c r="AF39" s="10"/>
      <c r="AG39" s="10"/>
      <c r="AH39" s="10"/>
      <c r="AI39" s="10"/>
      <c r="AJ39" s="10"/>
      <c r="AK39" s="10"/>
      <c r="AL39" s="10"/>
      <c r="AM39" s="10"/>
      <c r="AN39" s="10"/>
      <c r="AO39" s="10"/>
      <c r="AP39" s="10"/>
      <c r="AQ39" s="10"/>
      <c r="AR39" s="10"/>
    </row>
    <row r="40" spans="1:44" ht="12" hidden="1" customHeight="1" outlineLevel="1" x14ac:dyDescent="0.25">
      <c r="A40" s="10"/>
      <c r="B40" s="238"/>
      <c r="C40" s="81"/>
      <c r="D40" s="57" t="str">
        <f>'Situation initiale'!D62</f>
        <v>Fenêtre 26</v>
      </c>
      <c r="E40" s="17"/>
      <c r="F40" s="156">
        <f t="shared" si="0"/>
        <v>0</v>
      </c>
      <c r="G40" s="212">
        <f>'Situation initiale'!E62</f>
        <v>0</v>
      </c>
      <c r="H40" s="213">
        <f>'Situation initiale'!F62</f>
        <v>0</v>
      </c>
      <c r="I40" s="212">
        <f>'Situation initiale'!G62</f>
        <v>0</v>
      </c>
      <c r="J40" s="214">
        <f>'Situation initiale'!H62</f>
        <v>0</v>
      </c>
      <c r="K40" s="213">
        <f>'Situation initiale'!I62</f>
        <v>0</v>
      </c>
      <c r="L40" s="18">
        <f t="shared" si="1"/>
        <v>0</v>
      </c>
      <c r="M40" s="236"/>
      <c r="N40" s="237"/>
      <c r="O40" s="236"/>
      <c r="P40" s="113">
        <f t="shared" si="2"/>
        <v>0.56524999999999992</v>
      </c>
      <c r="Q40" s="124">
        <f>IFERROR(VLOOKUP(K40,Données!$A$3:$B$10,2,0),0)</f>
        <v>0</v>
      </c>
      <c r="R40" s="124">
        <f t="shared" si="3"/>
        <v>0</v>
      </c>
      <c r="S40" s="18">
        <f>G40-'Situation initiale'!E62</f>
        <v>0</v>
      </c>
      <c r="T40" s="156" t="str">
        <f>IF(S40&lt;0,('Situation initiale'!J62*'Situation initiale'!M$37*duree_chauf*24/1000*(Temp_SI-Temp_ext))/(deperd_init+pertes_chau_init)*conso_init-('Situation rénovée'!L40*'Situation rénovée'!N$15*duree_chauf*24/1000*(Temp_SR-Temp_ext))/(deperd_reno+pertes_chau_reno)*conso_reno,"-")</f>
        <v>-</v>
      </c>
      <c r="U40" s="18" t="str">
        <f>IF(S40&lt;0,('Situation initiale'!J62*'Situation initiale'!M$37*duree_chauf*24/1000*(Temp_SI-Temp_ext))/(deperd_init+pertes_chau_init)*conso_init*cout_vect_init-('Situation rénovée'!L40*'Situation rénovée'!N$15*duree_chauf*24/1000*(Temp_SR-Temp_ext))/(deperd_reno+pertes_chau_reno)*conso_reno*cout_vect_reno,"-")</f>
        <v>-</v>
      </c>
      <c r="V40" s="18" t="str">
        <f t="shared" si="4"/>
        <v>-</v>
      </c>
      <c r="W40" s="10"/>
      <c r="X40" s="10"/>
      <c r="Y40" s="10"/>
      <c r="Z40" s="10"/>
      <c r="AA40" s="10"/>
      <c r="AB40" s="10"/>
      <c r="AC40" s="10"/>
      <c r="AD40" s="10"/>
      <c r="AE40" s="10"/>
      <c r="AF40" s="10"/>
      <c r="AG40" s="10"/>
      <c r="AH40" s="10"/>
      <c r="AI40" s="10"/>
      <c r="AJ40" s="10"/>
      <c r="AK40" s="10"/>
      <c r="AL40" s="10"/>
      <c r="AM40" s="10"/>
      <c r="AN40" s="10"/>
      <c r="AO40" s="10"/>
      <c r="AP40" s="10"/>
      <c r="AQ40" s="10"/>
      <c r="AR40" s="10"/>
    </row>
    <row r="41" spans="1:44" ht="12" hidden="1" customHeight="1" outlineLevel="1" x14ac:dyDescent="0.25">
      <c r="A41" s="10"/>
      <c r="B41" s="238"/>
      <c r="C41" s="81"/>
      <c r="D41" s="57" t="str">
        <f>'Situation initiale'!D63</f>
        <v>Fenêtre 27</v>
      </c>
      <c r="E41" s="17"/>
      <c r="F41" s="156">
        <f t="shared" si="0"/>
        <v>0</v>
      </c>
      <c r="G41" s="212">
        <f>'Situation initiale'!E63</f>
        <v>0</v>
      </c>
      <c r="H41" s="213">
        <f>'Situation initiale'!F63</f>
        <v>0</v>
      </c>
      <c r="I41" s="212">
        <f>'Situation initiale'!G63</f>
        <v>0</v>
      </c>
      <c r="J41" s="214">
        <f>'Situation initiale'!H63</f>
        <v>0</v>
      </c>
      <c r="K41" s="213">
        <f>'Situation initiale'!I63</f>
        <v>0</v>
      </c>
      <c r="L41" s="18">
        <f t="shared" si="1"/>
        <v>0</v>
      </c>
      <c r="M41" s="236"/>
      <c r="N41" s="237"/>
      <c r="O41" s="236"/>
      <c r="P41" s="113">
        <f t="shared" si="2"/>
        <v>0.56524999999999992</v>
      </c>
      <c r="Q41" s="124">
        <f>IFERROR(VLOOKUP(K41,Données!$A$3:$B$10,2,0),0)</f>
        <v>0</v>
      </c>
      <c r="R41" s="124">
        <f t="shared" si="3"/>
        <v>0</v>
      </c>
      <c r="S41" s="18">
        <f>G41-'Situation initiale'!E63</f>
        <v>0</v>
      </c>
      <c r="T41" s="156" t="str">
        <f>IF(S41&lt;0,('Situation initiale'!J63*'Situation initiale'!M$37*duree_chauf*24/1000*(Temp_SI-Temp_ext))/(deperd_init+pertes_chau_init)*conso_init-('Situation rénovée'!L41*'Situation rénovée'!N$15*duree_chauf*24/1000*(Temp_SR-Temp_ext))/(deperd_reno+pertes_chau_reno)*conso_reno,"-")</f>
        <v>-</v>
      </c>
      <c r="U41" s="18" t="str">
        <f>IF(S41&lt;0,('Situation initiale'!J63*'Situation initiale'!M$37*duree_chauf*24/1000*(Temp_SI-Temp_ext))/(deperd_init+pertes_chau_init)*conso_init*cout_vect_init-('Situation rénovée'!L41*'Situation rénovée'!N$15*duree_chauf*24/1000*(Temp_SR-Temp_ext))/(deperd_reno+pertes_chau_reno)*conso_reno*cout_vect_reno,"-")</f>
        <v>-</v>
      </c>
      <c r="V41" s="18" t="str">
        <f t="shared" si="4"/>
        <v>-</v>
      </c>
      <c r="W41" s="10"/>
      <c r="X41" s="10"/>
      <c r="Y41" s="10"/>
      <c r="Z41" s="10"/>
      <c r="AA41" s="10"/>
      <c r="AB41" s="10"/>
      <c r="AC41" s="10"/>
      <c r="AD41" s="10"/>
      <c r="AE41" s="10"/>
      <c r="AF41" s="10"/>
      <c r="AG41" s="10"/>
      <c r="AH41" s="10"/>
      <c r="AI41" s="10"/>
      <c r="AJ41" s="10"/>
      <c r="AK41" s="10"/>
      <c r="AL41" s="10"/>
      <c r="AM41" s="10"/>
      <c r="AN41" s="10"/>
      <c r="AO41" s="10"/>
      <c r="AP41" s="10"/>
      <c r="AQ41" s="10"/>
      <c r="AR41" s="10"/>
    </row>
    <row r="42" spans="1:44" ht="12" hidden="1" customHeight="1" outlineLevel="1" x14ac:dyDescent="0.25">
      <c r="A42" s="10"/>
      <c r="B42" s="238"/>
      <c r="C42" s="81"/>
      <c r="D42" s="57" t="str">
        <f>'Situation initiale'!D64</f>
        <v>Fenêtre 28</v>
      </c>
      <c r="E42" s="17"/>
      <c r="F42" s="156">
        <f t="shared" si="0"/>
        <v>0</v>
      </c>
      <c r="G42" s="212">
        <f>'Situation initiale'!E64</f>
        <v>0</v>
      </c>
      <c r="H42" s="213">
        <f>'Situation initiale'!F64</f>
        <v>0</v>
      </c>
      <c r="I42" s="212">
        <f>'Situation initiale'!G64</f>
        <v>0</v>
      </c>
      <c r="J42" s="214">
        <f>'Situation initiale'!H64</f>
        <v>0</v>
      </c>
      <c r="K42" s="213">
        <f>'Situation initiale'!I64</f>
        <v>0</v>
      </c>
      <c r="L42" s="18">
        <f t="shared" si="1"/>
        <v>0</v>
      </c>
      <c r="M42" s="236"/>
      <c r="N42" s="237"/>
      <c r="O42" s="236"/>
      <c r="P42" s="113">
        <f t="shared" si="2"/>
        <v>0.56524999999999992</v>
      </c>
      <c r="Q42" s="124">
        <f>IFERROR(VLOOKUP(K42,Données!$A$3:$B$10,2,0),0)</f>
        <v>0</v>
      </c>
      <c r="R42" s="124">
        <f t="shared" si="3"/>
        <v>0</v>
      </c>
      <c r="S42" s="18">
        <f>G42-'Situation initiale'!E64</f>
        <v>0</v>
      </c>
      <c r="T42" s="156" t="str">
        <f>IF(S42&lt;0,('Situation initiale'!J64*'Situation initiale'!M$37*duree_chauf*24/1000*(Temp_SI-Temp_ext))/(deperd_init+pertes_chau_init)*conso_init-('Situation rénovée'!L42*'Situation rénovée'!N$15*duree_chauf*24/1000*(Temp_SR-Temp_ext))/(deperd_reno+pertes_chau_reno)*conso_reno,"-")</f>
        <v>-</v>
      </c>
      <c r="U42" s="18" t="str">
        <f>IF(S42&lt;0,('Situation initiale'!J64*'Situation initiale'!M$37*duree_chauf*24/1000*(Temp_SI-Temp_ext))/(deperd_init+pertes_chau_init)*conso_init*cout_vect_init-('Situation rénovée'!L42*'Situation rénovée'!N$15*duree_chauf*24/1000*(Temp_SR-Temp_ext))/(deperd_reno+pertes_chau_reno)*conso_reno*cout_vect_reno,"-")</f>
        <v>-</v>
      </c>
      <c r="V42" s="18" t="str">
        <f t="shared" si="4"/>
        <v>-</v>
      </c>
      <c r="W42" s="10"/>
      <c r="X42" s="10"/>
      <c r="Y42" s="10"/>
      <c r="Z42" s="10"/>
      <c r="AA42" s="10"/>
      <c r="AB42" s="10"/>
      <c r="AC42" s="10"/>
      <c r="AD42" s="10"/>
      <c r="AE42" s="10"/>
      <c r="AF42" s="10"/>
      <c r="AG42" s="10"/>
      <c r="AH42" s="10"/>
      <c r="AI42" s="10"/>
      <c r="AJ42" s="10"/>
      <c r="AK42" s="10"/>
      <c r="AL42" s="10"/>
      <c r="AM42" s="10"/>
      <c r="AN42" s="10"/>
      <c r="AO42" s="10"/>
      <c r="AP42" s="10"/>
      <c r="AQ42" s="10"/>
      <c r="AR42" s="10"/>
    </row>
    <row r="43" spans="1:44" ht="12" hidden="1" customHeight="1" outlineLevel="1" x14ac:dyDescent="0.25">
      <c r="A43" s="10"/>
      <c r="B43" s="238"/>
      <c r="C43" s="81"/>
      <c r="D43" s="57" t="str">
        <f>'Situation initiale'!D65</f>
        <v>Fenêtre 29</v>
      </c>
      <c r="E43" s="17"/>
      <c r="F43" s="156">
        <f t="shared" si="0"/>
        <v>0</v>
      </c>
      <c r="G43" s="212">
        <f>'Situation initiale'!E65</f>
        <v>0</v>
      </c>
      <c r="H43" s="213">
        <f>'Situation initiale'!F65</f>
        <v>0</v>
      </c>
      <c r="I43" s="212">
        <f>'Situation initiale'!G65</f>
        <v>0</v>
      </c>
      <c r="J43" s="214">
        <f>'Situation initiale'!H65</f>
        <v>0</v>
      </c>
      <c r="K43" s="213">
        <f>'Situation initiale'!I65</f>
        <v>0</v>
      </c>
      <c r="L43" s="18">
        <f t="shared" si="1"/>
        <v>0</v>
      </c>
      <c r="M43" s="236"/>
      <c r="N43" s="237"/>
      <c r="O43" s="236"/>
      <c r="P43" s="113">
        <f t="shared" si="2"/>
        <v>0.56524999999999992</v>
      </c>
      <c r="Q43" s="124">
        <f>IFERROR(VLOOKUP(K43,Données!$A$3:$B$10,2,0),0)</f>
        <v>0</v>
      </c>
      <c r="R43" s="124">
        <f t="shared" si="3"/>
        <v>0</v>
      </c>
      <c r="S43" s="18">
        <f>G43-'Situation initiale'!E65</f>
        <v>0</v>
      </c>
      <c r="T43" s="156" t="str">
        <f>IF(S43&lt;0,('Situation initiale'!J65*'Situation initiale'!M$37*duree_chauf*24/1000*(Temp_SI-Temp_ext))/(deperd_init+pertes_chau_init)*conso_init-('Situation rénovée'!L43*'Situation rénovée'!N$15*duree_chauf*24/1000*(Temp_SR-Temp_ext))/(deperd_reno+pertes_chau_reno)*conso_reno,"-")</f>
        <v>-</v>
      </c>
      <c r="U43" s="18" t="str">
        <f>IF(S43&lt;0,('Situation initiale'!J65*'Situation initiale'!M$37*duree_chauf*24/1000*(Temp_SI-Temp_ext))/(deperd_init+pertes_chau_init)*conso_init*cout_vect_init-('Situation rénovée'!L43*'Situation rénovée'!N$15*duree_chauf*24/1000*(Temp_SR-Temp_ext))/(deperd_reno+pertes_chau_reno)*conso_reno*cout_vect_reno,"-")</f>
        <v>-</v>
      </c>
      <c r="V43" s="18" t="str">
        <f t="shared" si="4"/>
        <v>-</v>
      </c>
      <c r="W43" s="10"/>
      <c r="X43" s="10"/>
      <c r="Y43" s="10"/>
      <c r="Z43" s="10"/>
      <c r="AA43" s="10"/>
      <c r="AB43" s="10"/>
      <c r="AC43" s="10"/>
      <c r="AD43" s="10"/>
      <c r="AE43" s="10"/>
      <c r="AF43" s="10"/>
      <c r="AG43" s="10"/>
      <c r="AH43" s="10"/>
      <c r="AI43" s="10"/>
      <c r="AJ43" s="10"/>
      <c r="AK43" s="10"/>
      <c r="AL43" s="10"/>
      <c r="AM43" s="10"/>
      <c r="AN43" s="10"/>
      <c r="AO43" s="10"/>
      <c r="AP43" s="10"/>
      <c r="AQ43" s="10"/>
      <c r="AR43" s="10"/>
    </row>
    <row r="44" spans="1:44" ht="12" hidden="1" customHeight="1" outlineLevel="1" x14ac:dyDescent="0.25">
      <c r="A44" s="10"/>
      <c r="B44" s="238"/>
      <c r="C44" s="81"/>
      <c r="D44" s="57" t="str">
        <f>'Situation initiale'!D66</f>
        <v>Fenêtre 30</v>
      </c>
      <c r="E44" s="17"/>
      <c r="F44" s="156">
        <f t="shared" si="0"/>
        <v>0</v>
      </c>
      <c r="G44" s="212">
        <f>'Situation initiale'!E66</f>
        <v>0</v>
      </c>
      <c r="H44" s="213">
        <f>'Situation initiale'!F66</f>
        <v>0</v>
      </c>
      <c r="I44" s="212">
        <f>'Situation initiale'!G66</f>
        <v>0</v>
      </c>
      <c r="J44" s="214">
        <f>'Situation initiale'!H66</f>
        <v>0</v>
      </c>
      <c r="K44" s="213">
        <f>'Situation initiale'!I66</f>
        <v>0</v>
      </c>
      <c r="L44" s="18">
        <f t="shared" si="1"/>
        <v>0</v>
      </c>
      <c r="M44" s="236"/>
      <c r="N44" s="237"/>
      <c r="O44" s="236"/>
      <c r="P44" s="113">
        <f t="shared" si="2"/>
        <v>0.56524999999999992</v>
      </c>
      <c r="Q44" s="124">
        <f>IFERROR(VLOOKUP(K44,Données!$A$3:$B$10,2,0),0)</f>
        <v>0</v>
      </c>
      <c r="R44" s="124">
        <f t="shared" si="3"/>
        <v>0</v>
      </c>
      <c r="S44" s="18">
        <f>G44-'Situation initiale'!E66</f>
        <v>0</v>
      </c>
      <c r="T44" s="156" t="str">
        <f>IF(S44&lt;0,('Situation initiale'!J66*'Situation initiale'!M$37*duree_chauf*24/1000*(Temp_SI-Temp_ext))/(deperd_init+pertes_chau_init)*conso_init-('Situation rénovée'!L44*'Situation rénovée'!N$15*duree_chauf*24/1000*(Temp_SR-Temp_ext))/(deperd_reno+pertes_chau_reno)*conso_reno,"-")</f>
        <v>-</v>
      </c>
      <c r="U44" s="18" t="str">
        <f>IF(S44&lt;0,('Situation initiale'!J66*'Situation initiale'!M$37*duree_chauf*24/1000*(Temp_SI-Temp_ext))/(deperd_init+pertes_chau_init)*conso_init*cout_vect_init-('Situation rénovée'!L44*'Situation rénovée'!N$15*duree_chauf*24/1000*(Temp_SR-Temp_ext))/(deperd_reno+pertes_chau_reno)*conso_reno*cout_vect_reno,"-")</f>
        <v>-</v>
      </c>
      <c r="V44" s="18" t="str">
        <f t="shared" si="4"/>
        <v>-</v>
      </c>
      <c r="W44" s="10"/>
      <c r="X44" s="10"/>
      <c r="Y44" s="10"/>
      <c r="Z44" s="10"/>
      <c r="AA44" s="10"/>
      <c r="AB44" s="10"/>
      <c r="AC44" s="10"/>
      <c r="AD44" s="10"/>
      <c r="AE44" s="10"/>
      <c r="AF44" s="10"/>
      <c r="AG44" s="10"/>
      <c r="AH44" s="10"/>
      <c r="AI44" s="10"/>
      <c r="AJ44" s="10"/>
      <c r="AK44" s="10"/>
      <c r="AL44" s="10"/>
      <c r="AM44" s="10"/>
      <c r="AN44" s="10"/>
      <c r="AO44" s="10"/>
      <c r="AP44" s="10"/>
      <c r="AQ44" s="10"/>
      <c r="AR44" s="10"/>
    </row>
    <row r="45" spans="1:44" ht="12" hidden="1" customHeight="1" outlineLevel="1" x14ac:dyDescent="0.25">
      <c r="A45" s="10"/>
      <c r="B45" s="238"/>
      <c r="C45" s="81"/>
      <c r="D45" s="57" t="str">
        <f>'Situation initiale'!D67</f>
        <v>Fenêtre 31</v>
      </c>
      <c r="E45" s="17"/>
      <c r="F45" s="156">
        <f t="shared" si="0"/>
        <v>0</v>
      </c>
      <c r="G45" s="212">
        <f>'Situation initiale'!E67</f>
        <v>0</v>
      </c>
      <c r="H45" s="213">
        <f>'Situation initiale'!F67</f>
        <v>0</v>
      </c>
      <c r="I45" s="212">
        <f>'Situation initiale'!G67</f>
        <v>0</v>
      </c>
      <c r="J45" s="214">
        <f>'Situation initiale'!H67</f>
        <v>0</v>
      </c>
      <c r="K45" s="213">
        <f>'Situation initiale'!I67</f>
        <v>0</v>
      </c>
      <c r="L45" s="18">
        <f t="shared" si="1"/>
        <v>0</v>
      </c>
      <c r="M45" s="236"/>
      <c r="N45" s="237"/>
      <c r="O45" s="236"/>
      <c r="P45" s="113">
        <f t="shared" si="2"/>
        <v>0.56524999999999992</v>
      </c>
      <c r="Q45" s="124">
        <f>IFERROR(VLOOKUP(K45,Données!$A$3:$B$10,2,0),0)</f>
        <v>0</v>
      </c>
      <c r="R45" s="124">
        <f t="shared" si="3"/>
        <v>0</v>
      </c>
      <c r="S45" s="18">
        <f>G45-'Situation initiale'!E67</f>
        <v>0</v>
      </c>
      <c r="T45" s="156" t="str">
        <f>IF(S45&lt;0,('Situation initiale'!J67*'Situation initiale'!M$37*duree_chauf*24/1000*(Temp_SI-Temp_ext))/(deperd_init+pertes_chau_init)*conso_init-('Situation rénovée'!L45*'Situation rénovée'!N$15*duree_chauf*24/1000*(Temp_SR-Temp_ext))/(deperd_reno+pertes_chau_reno)*conso_reno,"-")</f>
        <v>-</v>
      </c>
      <c r="U45" s="18" t="str">
        <f>IF(S45&lt;0,('Situation initiale'!J67*'Situation initiale'!M$37*duree_chauf*24/1000*(Temp_SI-Temp_ext))/(deperd_init+pertes_chau_init)*conso_init*cout_vect_init-('Situation rénovée'!L45*'Situation rénovée'!N$15*duree_chauf*24/1000*(Temp_SR-Temp_ext))/(deperd_reno+pertes_chau_reno)*conso_reno*cout_vect_reno,"-")</f>
        <v>-</v>
      </c>
      <c r="V45" s="18" t="str">
        <f t="shared" si="4"/>
        <v>-</v>
      </c>
      <c r="W45" s="10"/>
      <c r="X45" s="10"/>
      <c r="Y45" s="10"/>
      <c r="Z45" s="10"/>
      <c r="AA45" s="10"/>
      <c r="AB45" s="10"/>
      <c r="AC45" s="10"/>
      <c r="AD45" s="10"/>
      <c r="AE45" s="10"/>
      <c r="AF45" s="10"/>
      <c r="AG45" s="10"/>
      <c r="AH45" s="10"/>
      <c r="AI45" s="10"/>
      <c r="AJ45" s="10"/>
      <c r="AK45" s="10"/>
      <c r="AL45" s="10"/>
      <c r="AM45" s="10"/>
      <c r="AN45" s="10"/>
      <c r="AO45" s="10"/>
      <c r="AP45" s="10"/>
      <c r="AQ45" s="10"/>
      <c r="AR45" s="10"/>
    </row>
    <row r="46" spans="1:44" ht="12" hidden="1" customHeight="1" outlineLevel="1" x14ac:dyDescent="0.25">
      <c r="A46" s="10"/>
      <c r="B46" s="238"/>
      <c r="C46" s="81"/>
      <c r="D46" s="57" t="str">
        <f>'Situation initiale'!D68</f>
        <v>Fenêtre 32</v>
      </c>
      <c r="E46" s="17"/>
      <c r="F46" s="156">
        <f t="shared" si="0"/>
        <v>0</v>
      </c>
      <c r="G46" s="212">
        <f>'Situation initiale'!E68</f>
        <v>0</v>
      </c>
      <c r="H46" s="213">
        <f>'Situation initiale'!F68</f>
        <v>0</v>
      </c>
      <c r="I46" s="212">
        <f>'Situation initiale'!G68</f>
        <v>0</v>
      </c>
      <c r="J46" s="214">
        <f>'Situation initiale'!H68</f>
        <v>0</v>
      </c>
      <c r="K46" s="213">
        <f>'Situation initiale'!I68</f>
        <v>0</v>
      </c>
      <c r="L46" s="18">
        <f t="shared" si="1"/>
        <v>0</v>
      </c>
      <c r="M46" s="236"/>
      <c r="N46" s="237"/>
      <c r="O46" s="236"/>
      <c r="P46" s="113">
        <f t="shared" si="2"/>
        <v>0.56524999999999992</v>
      </c>
      <c r="Q46" s="124">
        <f>IFERROR(VLOOKUP(K46,Données!$A$3:$B$10,2,0),0)</f>
        <v>0</v>
      </c>
      <c r="R46" s="124">
        <f t="shared" si="3"/>
        <v>0</v>
      </c>
      <c r="S46" s="18">
        <f>G46-'Situation initiale'!E68</f>
        <v>0</v>
      </c>
      <c r="T46" s="156" t="str">
        <f>IF(S46&lt;0,('Situation initiale'!J68*'Situation initiale'!M$37*duree_chauf*24/1000*(Temp_SI-Temp_ext))/(deperd_init+pertes_chau_init)*conso_init-('Situation rénovée'!L46*'Situation rénovée'!N$15*duree_chauf*24/1000*(Temp_SR-Temp_ext))/(deperd_reno+pertes_chau_reno)*conso_reno,"-")</f>
        <v>-</v>
      </c>
      <c r="U46" s="18" t="str">
        <f>IF(S46&lt;0,('Situation initiale'!J68*'Situation initiale'!M$37*duree_chauf*24/1000*(Temp_SI-Temp_ext))/(deperd_init+pertes_chau_init)*conso_init*cout_vect_init-('Situation rénovée'!L46*'Situation rénovée'!N$15*duree_chauf*24/1000*(Temp_SR-Temp_ext))/(deperd_reno+pertes_chau_reno)*conso_reno*cout_vect_reno,"-")</f>
        <v>-</v>
      </c>
      <c r="V46" s="18" t="str">
        <f t="shared" si="4"/>
        <v>-</v>
      </c>
      <c r="W46" s="10"/>
      <c r="X46" s="10"/>
      <c r="Y46" s="10"/>
      <c r="Z46" s="10"/>
      <c r="AA46" s="10"/>
      <c r="AB46" s="10"/>
      <c r="AC46" s="10"/>
      <c r="AD46" s="10"/>
      <c r="AE46" s="10"/>
      <c r="AF46" s="10"/>
      <c r="AG46" s="10"/>
      <c r="AH46" s="10"/>
      <c r="AI46" s="10"/>
      <c r="AJ46" s="10"/>
      <c r="AK46" s="10"/>
      <c r="AL46" s="10"/>
      <c r="AM46" s="10"/>
      <c r="AN46" s="10"/>
      <c r="AO46" s="10"/>
      <c r="AP46" s="10"/>
      <c r="AQ46" s="10"/>
      <c r="AR46" s="10"/>
    </row>
    <row r="47" spans="1:44" ht="12" hidden="1" customHeight="1" outlineLevel="1" x14ac:dyDescent="0.25">
      <c r="A47" s="10"/>
      <c r="B47" s="238"/>
      <c r="C47" s="81"/>
      <c r="D47" s="57" t="str">
        <f>'Situation initiale'!D69</f>
        <v>Fenêtre 33</v>
      </c>
      <c r="E47" s="17"/>
      <c r="F47" s="156">
        <f t="shared" si="0"/>
        <v>0</v>
      </c>
      <c r="G47" s="212">
        <f>'Situation initiale'!E69</f>
        <v>0</v>
      </c>
      <c r="H47" s="213">
        <f>'Situation initiale'!F69</f>
        <v>0</v>
      </c>
      <c r="I47" s="212">
        <f>'Situation initiale'!G69</f>
        <v>0</v>
      </c>
      <c r="J47" s="214">
        <f>'Situation initiale'!H69</f>
        <v>0</v>
      </c>
      <c r="K47" s="213">
        <f>'Situation initiale'!I69</f>
        <v>0</v>
      </c>
      <c r="L47" s="18">
        <f t="shared" si="1"/>
        <v>0</v>
      </c>
      <c r="M47" s="236"/>
      <c r="N47" s="237"/>
      <c r="O47" s="236"/>
      <c r="P47" s="113">
        <f t="shared" si="2"/>
        <v>0.56524999999999992</v>
      </c>
      <c r="Q47" s="124">
        <f>IFERROR(VLOOKUP(K47,Données!$A$3:$B$10,2,0),0)</f>
        <v>0</v>
      </c>
      <c r="R47" s="124">
        <f t="shared" si="3"/>
        <v>0</v>
      </c>
      <c r="S47" s="18">
        <f>G47-'Situation initiale'!E69</f>
        <v>0</v>
      </c>
      <c r="T47" s="156" t="str">
        <f>IF(S47&lt;0,('Situation initiale'!J69*'Situation initiale'!M$37*duree_chauf*24/1000*(Temp_SI-Temp_ext))/(deperd_init+pertes_chau_init)*conso_init-('Situation rénovée'!L47*'Situation rénovée'!N$15*duree_chauf*24/1000*(Temp_SR-Temp_ext))/(deperd_reno+pertes_chau_reno)*conso_reno,"-")</f>
        <v>-</v>
      </c>
      <c r="U47" s="18" t="str">
        <f>IF(S47&lt;0,('Situation initiale'!J69*'Situation initiale'!M$37*duree_chauf*24/1000*(Temp_SI-Temp_ext))/(deperd_init+pertes_chau_init)*conso_init*cout_vect_init-('Situation rénovée'!L47*'Situation rénovée'!N$15*duree_chauf*24/1000*(Temp_SR-Temp_ext))/(deperd_reno+pertes_chau_reno)*conso_reno*cout_vect_reno,"-")</f>
        <v>-</v>
      </c>
      <c r="V47" s="18" t="str">
        <f t="shared" ref="V47:V78" si="5">IF(AND(S47&lt;0,U47&lt;&gt;0),F47/U47,"-")</f>
        <v>-</v>
      </c>
      <c r="W47" s="10"/>
      <c r="X47" s="10"/>
      <c r="Y47" s="10"/>
      <c r="Z47" s="10"/>
      <c r="AA47" s="10"/>
      <c r="AB47" s="10"/>
      <c r="AC47" s="10"/>
      <c r="AD47" s="10"/>
      <c r="AE47" s="10"/>
      <c r="AF47" s="10"/>
      <c r="AG47" s="10"/>
      <c r="AH47" s="10"/>
      <c r="AI47" s="10"/>
      <c r="AJ47" s="10"/>
      <c r="AK47" s="10"/>
      <c r="AL47" s="10"/>
      <c r="AM47" s="10"/>
      <c r="AN47" s="10"/>
      <c r="AO47" s="10"/>
      <c r="AP47" s="10"/>
      <c r="AQ47" s="10"/>
      <c r="AR47" s="10"/>
    </row>
    <row r="48" spans="1:44" ht="12" hidden="1" customHeight="1" outlineLevel="1" x14ac:dyDescent="0.25">
      <c r="A48" s="10"/>
      <c r="B48" s="238"/>
      <c r="C48" s="81"/>
      <c r="D48" s="57" t="str">
        <f>'Situation initiale'!D70</f>
        <v>Fenêtre 34</v>
      </c>
      <c r="E48" s="17"/>
      <c r="F48" s="156">
        <f t="shared" si="0"/>
        <v>0</v>
      </c>
      <c r="G48" s="212">
        <f>'Situation initiale'!E70</f>
        <v>0</v>
      </c>
      <c r="H48" s="213">
        <f>'Situation initiale'!F70</f>
        <v>0</v>
      </c>
      <c r="I48" s="212">
        <f>'Situation initiale'!G70</f>
        <v>0</v>
      </c>
      <c r="J48" s="214">
        <f>'Situation initiale'!H70</f>
        <v>0</v>
      </c>
      <c r="K48" s="213">
        <f>'Situation initiale'!I70</f>
        <v>0</v>
      </c>
      <c r="L48" s="18">
        <f t="shared" si="1"/>
        <v>0</v>
      </c>
      <c r="M48" s="236"/>
      <c r="N48" s="237"/>
      <c r="O48" s="236"/>
      <c r="P48" s="113">
        <f t="shared" si="2"/>
        <v>0.56524999999999992</v>
      </c>
      <c r="Q48" s="124">
        <f>IFERROR(VLOOKUP(K48,Données!$A$3:$B$10,2,0),0)</f>
        <v>0</v>
      </c>
      <c r="R48" s="124">
        <f t="shared" si="3"/>
        <v>0</v>
      </c>
      <c r="S48" s="18">
        <f>G48-'Situation initiale'!E70</f>
        <v>0</v>
      </c>
      <c r="T48" s="156" t="str">
        <f>IF(S48&lt;0,('Situation initiale'!J70*'Situation initiale'!M$37*duree_chauf*24/1000*(Temp_SI-Temp_ext))/(deperd_init+pertes_chau_init)*conso_init-('Situation rénovée'!L48*'Situation rénovée'!N$15*duree_chauf*24/1000*(Temp_SR-Temp_ext))/(deperd_reno+pertes_chau_reno)*conso_reno,"-")</f>
        <v>-</v>
      </c>
      <c r="U48" s="18" t="str">
        <f>IF(S48&lt;0,('Situation initiale'!J70*'Situation initiale'!M$37*duree_chauf*24/1000*(Temp_SI-Temp_ext))/(deperd_init+pertes_chau_init)*conso_init*cout_vect_init-('Situation rénovée'!L48*'Situation rénovée'!N$15*duree_chauf*24/1000*(Temp_SR-Temp_ext))/(deperd_reno+pertes_chau_reno)*conso_reno*cout_vect_reno,"-")</f>
        <v>-</v>
      </c>
      <c r="V48" s="18" t="str">
        <f t="shared" si="5"/>
        <v>-</v>
      </c>
      <c r="W48" s="10"/>
      <c r="X48" s="10"/>
      <c r="Y48" s="10"/>
      <c r="Z48" s="10"/>
      <c r="AA48" s="10"/>
      <c r="AB48" s="10"/>
      <c r="AC48" s="10"/>
      <c r="AD48" s="10"/>
      <c r="AE48" s="10"/>
      <c r="AF48" s="10"/>
      <c r="AG48" s="10"/>
      <c r="AH48" s="10"/>
      <c r="AI48" s="10"/>
      <c r="AJ48" s="10"/>
      <c r="AK48" s="10"/>
      <c r="AL48" s="10"/>
      <c r="AM48" s="10"/>
      <c r="AN48" s="10"/>
      <c r="AO48" s="10"/>
      <c r="AP48" s="10"/>
      <c r="AQ48" s="10"/>
      <c r="AR48" s="10"/>
    </row>
    <row r="49" spans="1:44" ht="12" hidden="1" customHeight="1" outlineLevel="1" x14ac:dyDescent="0.25">
      <c r="A49" s="10"/>
      <c r="B49" s="238"/>
      <c r="C49" s="81"/>
      <c r="D49" s="57" t="str">
        <f>'Situation initiale'!D71</f>
        <v>Fenêtre 35</v>
      </c>
      <c r="E49" s="17"/>
      <c r="F49" s="156">
        <f t="shared" si="0"/>
        <v>0</v>
      </c>
      <c r="G49" s="212">
        <f>'Situation initiale'!E71</f>
        <v>0</v>
      </c>
      <c r="H49" s="213">
        <f>'Situation initiale'!F71</f>
        <v>0</v>
      </c>
      <c r="I49" s="212">
        <f>'Situation initiale'!G71</f>
        <v>0</v>
      </c>
      <c r="J49" s="214">
        <f>'Situation initiale'!H71</f>
        <v>0</v>
      </c>
      <c r="K49" s="213">
        <f>'Situation initiale'!I71</f>
        <v>0</v>
      </c>
      <c r="L49" s="18">
        <f t="shared" si="1"/>
        <v>0</v>
      </c>
      <c r="M49" s="236"/>
      <c r="N49" s="237"/>
      <c r="O49" s="236"/>
      <c r="P49" s="113">
        <f t="shared" si="2"/>
        <v>0.56524999999999992</v>
      </c>
      <c r="Q49" s="124">
        <f>IFERROR(VLOOKUP(K49,Données!$A$3:$B$10,2,0),0)</f>
        <v>0</v>
      </c>
      <c r="R49" s="124">
        <f t="shared" si="3"/>
        <v>0</v>
      </c>
      <c r="S49" s="18">
        <f>G49-'Situation initiale'!E71</f>
        <v>0</v>
      </c>
      <c r="T49" s="156" t="str">
        <f>IF(S49&lt;0,('Situation initiale'!J71*'Situation initiale'!M$37*duree_chauf*24/1000*(Temp_SI-Temp_ext))/(deperd_init+pertes_chau_init)*conso_init-('Situation rénovée'!L49*'Situation rénovée'!N$15*duree_chauf*24/1000*(Temp_SR-Temp_ext))/(deperd_reno+pertes_chau_reno)*conso_reno,"-")</f>
        <v>-</v>
      </c>
      <c r="U49" s="18" t="str">
        <f>IF(S49&lt;0,('Situation initiale'!J71*'Situation initiale'!M$37*duree_chauf*24/1000*(Temp_SI-Temp_ext))/(deperd_init+pertes_chau_init)*conso_init*cout_vect_init-('Situation rénovée'!L49*'Situation rénovée'!N$15*duree_chauf*24/1000*(Temp_SR-Temp_ext))/(deperd_reno+pertes_chau_reno)*conso_reno*cout_vect_reno,"-")</f>
        <v>-</v>
      </c>
      <c r="V49" s="18" t="str">
        <f t="shared" si="5"/>
        <v>-</v>
      </c>
      <c r="W49" s="10"/>
      <c r="X49" s="10"/>
      <c r="Y49" s="10"/>
      <c r="Z49" s="10"/>
      <c r="AA49" s="10"/>
      <c r="AB49" s="10"/>
      <c r="AC49" s="10"/>
      <c r="AD49" s="10"/>
      <c r="AE49" s="10"/>
      <c r="AF49" s="10"/>
      <c r="AG49" s="10"/>
      <c r="AH49" s="10"/>
      <c r="AI49" s="10"/>
      <c r="AJ49" s="10"/>
      <c r="AK49" s="10"/>
      <c r="AL49" s="10"/>
      <c r="AM49" s="10"/>
      <c r="AN49" s="10"/>
      <c r="AO49" s="10"/>
      <c r="AP49" s="10"/>
      <c r="AQ49" s="10"/>
      <c r="AR49" s="10"/>
    </row>
    <row r="50" spans="1:44" ht="12" hidden="1" customHeight="1" outlineLevel="1" x14ac:dyDescent="0.25">
      <c r="A50" s="10"/>
      <c r="B50" s="238"/>
      <c r="C50" s="81"/>
      <c r="D50" s="57" t="str">
        <f>'Situation initiale'!D72</f>
        <v>Fenêtre 36</v>
      </c>
      <c r="E50" s="17"/>
      <c r="F50" s="156">
        <f t="shared" si="0"/>
        <v>0</v>
      </c>
      <c r="G50" s="212">
        <f>'Situation initiale'!E72</f>
        <v>0</v>
      </c>
      <c r="H50" s="213">
        <f>'Situation initiale'!F72</f>
        <v>0</v>
      </c>
      <c r="I50" s="212">
        <f>'Situation initiale'!G72</f>
        <v>0</v>
      </c>
      <c r="J50" s="214">
        <f>'Situation initiale'!H72</f>
        <v>0</v>
      </c>
      <c r="K50" s="213">
        <f>'Situation initiale'!I72</f>
        <v>0</v>
      </c>
      <c r="L50" s="18">
        <f t="shared" si="1"/>
        <v>0</v>
      </c>
      <c r="M50" s="236"/>
      <c r="N50" s="237"/>
      <c r="O50" s="236"/>
      <c r="P50" s="113">
        <f t="shared" si="2"/>
        <v>0.56524999999999992</v>
      </c>
      <c r="Q50" s="124">
        <f>IFERROR(VLOOKUP(K50,Données!$A$3:$B$10,2,0),0)</f>
        <v>0</v>
      </c>
      <c r="R50" s="124">
        <f t="shared" si="3"/>
        <v>0</v>
      </c>
      <c r="S50" s="18">
        <f>G50-'Situation initiale'!E72</f>
        <v>0</v>
      </c>
      <c r="T50" s="156" t="str">
        <f>IF(S50&lt;0,('Situation initiale'!J72*'Situation initiale'!M$37*duree_chauf*24/1000*(Temp_SI-Temp_ext))/(deperd_init+pertes_chau_init)*conso_init-('Situation rénovée'!L50*'Situation rénovée'!N$15*duree_chauf*24/1000*(Temp_SR-Temp_ext))/(deperd_reno+pertes_chau_reno)*conso_reno,"-")</f>
        <v>-</v>
      </c>
      <c r="U50" s="18" t="str">
        <f>IF(S50&lt;0,('Situation initiale'!J72*'Situation initiale'!M$37*duree_chauf*24/1000*(Temp_SI-Temp_ext))/(deperd_init+pertes_chau_init)*conso_init*cout_vect_init-('Situation rénovée'!L50*'Situation rénovée'!N$15*duree_chauf*24/1000*(Temp_SR-Temp_ext))/(deperd_reno+pertes_chau_reno)*conso_reno*cout_vect_reno,"-")</f>
        <v>-</v>
      </c>
      <c r="V50" s="18" t="str">
        <f t="shared" si="5"/>
        <v>-</v>
      </c>
      <c r="W50" s="10"/>
      <c r="X50" s="10"/>
      <c r="Y50" s="10"/>
      <c r="Z50" s="10"/>
      <c r="AA50" s="10"/>
      <c r="AB50" s="10"/>
      <c r="AC50" s="10"/>
      <c r="AD50" s="10"/>
      <c r="AE50" s="10"/>
      <c r="AF50" s="10"/>
      <c r="AG50" s="10"/>
      <c r="AH50" s="10"/>
      <c r="AI50" s="10"/>
      <c r="AJ50" s="10"/>
      <c r="AK50" s="10"/>
      <c r="AL50" s="10"/>
      <c r="AM50" s="10"/>
      <c r="AN50" s="10"/>
      <c r="AO50" s="10"/>
      <c r="AP50" s="10"/>
      <c r="AQ50" s="10"/>
      <c r="AR50" s="10"/>
    </row>
    <row r="51" spans="1:44" ht="12" hidden="1" customHeight="1" outlineLevel="1" x14ac:dyDescent="0.25">
      <c r="A51" s="10"/>
      <c r="B51" s="238"/>
      <c r="C51" s="81"/>
      <c r="D51" s="57" t="str">
        <f>'Situation initiale'!D73</f>
        <v>Fenêtre 37</v>
      </c>
      <c r="E51" s="17"/>
      <c r="F51" s="156">
        <f t="shared" si="0"/>
        <v>0</v>
      </c>
      <c r="G51" s="212">
        <f>'Situation initiale'!E73</f>
        <v>0</v>
      </c>
      <c r="H51" s="213">
        <f>'Situation initiale'!F73</f>
        <v>0</v>
      </c>
      <c r="I51" s="212">
        <f>'Situation initiale'!G73</f>
        <v>0</v>
      </c>
      <c r="J51" s="214">
        <f>'Situation initiale'!H73</f>
        <v>0</v>
      </c>
      <c r="K51" s="213">
        <f>'Situation initiale'!I73</f>
        <v>0</v>
      </c>
      <c r="L51" s="18">
        <f t="shared" si="1"/>
        <v>0</v>
      </c>
      <c r="M51" s="236"/>
      <c r="N51" s="237"/>
      <c r="O51" s="236"/>
      <c r="P51" s="113">
        <f t="shared" si="2"/>
        <v>0.56524999999999992</v>
      </c>
      <c r="Q51" s="124">
        <f>IFERROR(VLOOKUP(K51,Données!$A$3:$B$10,2,0),0)</f>
        <v>0</v>
      </c>
      <c r="R51" s="124">
        <f t="shared" si="3"/>
        <v>0</v>
      </c>
      <c r="S51" s="18">
        <f>G51-'Situation initiale'!E73</f>
        <v>0</v>
      </c>
      <c r="T51" s="156" t="str">
        <f>IF(S51&lt;0,('Situation initiale'!J73*'Situation initiale'!M$37*duree_chauf*24/1000*(Temp_SI-Temp_ext))/(deperd_init+pertes_chau_init)*conso_init-('Situation rénovée'!L51*'Situation rénovée'!N$15*duree_chauf*24/1000*(Temp_SR-Temp_ext))/(deperd_reno+pertes_chau_reno)*conso_reno,"-")</f>
        <v>-</v>
      </c>
      <c r="U51" s="18" t="str">
        <f>IF(S51&lt;0,('Situation initiale'!J73*'Situation initiale'!M$37*duree_chauf*24/1000*(Temp_SI-Temp_ext))/(deperd_init+pertes_chau_init)*conso_init*cout_vect_init-('Situation rénovée'!L51*'Situation rénovée'!N$15*duree_chauf*24/1000*(Temp_SR-Temp_ext))/(deperd_reno+pertes_chau_reno)*conso_reno*cout_vect_reno,"-")</f>
        <v>-</v>
      </c>
      <c r="V51" s="18" t="str">
        <f t="shared" si="5"/>
        <v>-</v>
      </c>
      <c r="W51" s="10"/>
      <c r="X51" s="10"/>
      <c r="Y51" s="10"/>
      <c r="Z51" s="10"/>
      <c r="AA51" s="10"/>
      <c r="AB51" s="10"/>
      <c r="AC51" s="10"/>
      <c r="AD51" s="10"/>
      <c r="AE51" s="10"/>
      <c r="AF51" s="10"/>
      <c r="AG51" s="10"/>
      <c r="AH51" s="10"/>
      <c r="AI51" s="10"/>
      <c r="AJ51" s="10"/>
      <c r="AK51" s="10"/>
      <c r="AL51" s="10"/>
      <c r="AM51" s="10"/>
      <c r="AN51" s="10"/>
      <c r="AO51" s="10"/>
      <c r="AP51" s="10"/>
      <c r="AQ51" s="10"/>
      <c r="AR51" s="10"/>
    </row>
    <row r="52" spans="1:44" ht="12" hidden="1" customHeight="1" outlineLevel="1" x14ac:dyDescent="0.25">
      <c r="A52" s="10"/>
      <c r="B52" s="238"/>
      <c r="C52" s="81"/>
      <c r="D52" s="57" t="str">
        <f>'Situation initiale'!D74</f>
        <v>Fenêtre 38</v>
      </c>
      <c r="E52" s="17"/>
      <c r="F52" s="156">
        <f t="shared" si="0"/>
        <v>0</v>
      </c>
      <c r="G52" s="212">
        <f>'Situation initiale'!E74</f>
        <v>0</v>
      </c>
      <c r="H52" s="213">
        <f>'Situation initiale'!F74</f>
        <v>0</v>
      </c>
      <c r="I52" s="212">
        <f>'Situation initiale'!G74</f>
        <v>0</v>
      </c>
      <c r="J52" s="214">
        <f>'Situation initiale'!H74</f>
        <v>0</v>
      </c>
      <c r="K52" s="213">
        <f>'Situation initiale'!I74</f>
        <v>0</v>
      </c>
      <c r="L52" s="18">
        <f t="shared" si="1"/>
        <v>0</v>
      </c>
      <c r="M52" s="236"/>
      <c r="N52" s="237"/>
      <c r="O52" s="236"/>
      <c r="P52" s="113">
        <f t="shared" si="2"/>
        <v>0.56524999999999992</v>
      </c>
      <c r="Q52" s="124">
        <f>IFERROR(VLOOKUP(K52,Données!$A$3:$B$10,2,0),0)</f>
        <v>0</v>
      </c>
      <c r="R52" s="124">
        <f t="shared" si="3"/>
        <v>0</v>
      </c>
      <c r="S52" s="18">
        <f>G52-'Situation initiale'!E74</f>
        <v>0</v>
      </c>
      <c r="T52" s="156" t="str">
        <f>IF(S52&lt;0,('Situation initiale'!J74*'Situation initiale'!M$37*duree_chauf*24/1000*(Temp_SI-Temp_ext))/(deperd_init+pertes_chau_init)*conso_init-('Situation rénovée'!L52*'Situation rénovée'!N$15*duree_chauf*24/1000*(Temp_SR-Temp_ext))/(deperd_reno+pertes_chau_reno)*conso_reno,"-")</f>
        <v>-</v>
      </c>
      <c r="U52" s="18" t="str">
        <f>IF(S52&lt;0,('Situation initiale'!J74*'Situation initiale'!M$37*duree_chauf*24/1000*(Temp_SI-Temp_ext))/(deperd_init+pertes_chau_init)*conso_init*cout_vect_init-('Situation rénovée'!L52*'Situation rénovée'!N$15*duree_chauf*24/1000*(Temp_SR-Temp_ext))/(deperd_reno+pertes_chau_reno)*conso_reno*cout_vect_reno,"-")</f>
        <v>-</v>
      </c>
      <c r="V52" s="18" t="str">
        <f t="shared" si="5"/>
        <v>-</v>
      </c>
      <c r="W52" s="10"/>
      <c r="X52" s="10"/>
      <c r="Y52" s="10"/>
      <c r="Z52" s="10"/>
      <c r="AA52" s="10"/>
      <c r="AB52" s="10"/>
      <c r="AC52" s="10"/>
      <c r="AD52" s="10"/>
      <c r="AE52" s="10"/>
      <c r="AF52" s="10"/>
      <c r="AG52" s="10"/>
      <c r="AH52" s="10"/>
      <c r="AI52" s="10"/>
      <c r="AJ52" s="10"/>
      <c r="AK52" s="10"/>
      <c r="AL52" s="10"/>
      <c r="AM52" s="10"/>
      <c r="AN52" s="10"/>
      <c r="AO52" s="10"/>
      <c r="AP52" s="10"/>
      <c r="AQ52" s="10"/>
      <c r="AR52" s="10"/>
    </row>
    <row r="53" spans="1:44" ht="12" hidden="1" customHeight="1" outlineLevel="1" x14ac:dyDescent="0.25">
      <c r="A53" s="10"/>
      <c r="B53" s="238"/>
      <c r="C53" s="81"/>
      <c r="D53" s="57" t="str">
        <f>'Situation initiale'!D75</f>
        <v>Fenêtre 39</v>
      </c>
      <c r="E53" s="17"/>
      <c r="F53" s="156">
        <f t="shared" si="0"/>
        <v>0</v>
      </c>
      <c r="G53" s="212">
        <f>'Situation initiale'!E75</f>
        <v>0</v>
      </c>
      <c r="H53" s="213">
        <f>'Situation initiale'!F75</f>
        <v>0</v>
      </c>
      <c r="I53" s="212">
        <f>'Situation initiale'!G75</f>
        <v>0</v>
      </c>
      <c r="J53" s="214">
        <f>'Situation initiale'!H75</f>
        <v>0</v>
      </c>
      <c r="K53" s="213">
        <f>'Situation initiale'!I75</f>
        <v>0</v>
      </c>
      <c r="L53" s="18">
        <f t="shared" si="1"/>
        <v>0</v>
      </c>
      <c r="M53" s="236"/>
      <c r="N53" s="237"/>
      <c r="O53" s="236"/>
      <c r="P53" s="113">
        <f t="shared" si="2"/>
        <v>0.56524999999999992</v>
      </c>
      <c r="Q53" s="124">
        <f>IFERROR(VLOOKUP(K53,Données!$A$3:$B$10,2,0),0)</f>
        <v>0</v>
      </c>
      <c r="R53" s="124">
        <f t="shared" si="3"/>
        <v>0</v>
      </c>
      <c r="S53" s="18">
        <f>G53-'Situation initiale'!E75</f>
        <v>0</v>
      </c>
      <c r="T53" s="156" t="str">
        <f>IF(S53&lt;0,('Situation initiale'!J75*'Situation initiale'!M$37*duree_chauf*24/1000*(Temp_SI-Temp_ext))/(deperd_init+pertes_chau_init)*conso_init-('Situation rénovée'!L53*'Situation rénovée'!N$15*duree_chauf*24/1000*(Temp_SR-Temp_ext))/(deperd_reno+pertes_chau_reno)*conso_reno,"-")</f>
        <v>-</v>
      </c>
      <c r="U53" s="18" t="str">
        <f>IF(S53&lt;0,('Situation initiale'!J75*'Situation initiale'!M$37*duree_chauf*24/1000*(Temp_SI-Temp_ext))/(deperd_init+pertes_chau_init)*conso_init*cout_vect_init-('Situation rénovée'!L53*'Situation rénovée'!N$15*duree_chauf*24/1000*(Temp_SR-Temp_ext))/(deperd_reno+pertes_chau_reno)*conso_reno*cout_vect_reno,"-")</f>
        <v>-</v>
      </c>
      <c r="V53" s="18" t="str">
        <f t="shared" si="5"/>
        <v>-</v>
      </c>
      <c r="W53" s="10"/>
      <c r="X53" s="10"/>
      <c r="Y53" s="10"/>
      <c r="Z53" s="10"/>
      <c r="AA53" s="10"/>
      <c r="AB53" s="10"/>
      <c r="AC53" s="10"/>
      <c r="AD53" s="10"/>
      <c r="AE53" s="10"/>
      <c r="AF53" s="10"/>
      <c r="AG53" s="10"/>
      <c r="AH53" s="10"/>
      <c r="AI53" s="10"/>
      <c r="AJ53" s="10"/>
      <c r="AK53" s="10"/>
      <c r="AL53" s="10"/>
      <c r="AM53" s="10"/>
      <c r="AN53" s="10"/>
      <c r="AO53" s="10"/>
      <c r="AP53" s="10"/>
      <c r="AQ53" s="10"/>
      <c r="AR53" s="10"/>
    </row>
    <row r="54" spans="1:44" ht="12" hidden="1" customHeight="1" outlineLevel="1" x14ac:dyDescent="0.25">
      <c r="A54" s="10"/>
      <c r="B54" s="238"/>
      <c r="C54" s="81"/>
      <c r="D54" s="57" t="str">
        <f>'Situation initiale'!D76</f>
        <v>Fenêtre 40</v>
      </c>
      <c r="E54" s="17"/>
      <c r="F54" s="156">
        <f t="shared" si="0"/>
        <v>0</v>
      </c>
      <c r="G54" s="212">
        <f>'Situation initiale'!E76</f>
        <v>0</v>
      </c>
      <c r="H54" s="213">
        <f>'Situation initiale'!F76</f>
        <v>0</v>
      </c>
      <c r="I54" s="212">
        <f>'Situation initiale'!G76</f>
        <v>0</v>
      </c>
      <c r="J54" s="214">
        <f>'Situation initiale'!H76</f>
        <v>0</v>
      </c>
      <c r="K54" s="213">
        <f>'Situation initiale'!I76</f>
        <v>0</v>
      </c>
      <c r="L54" s="18">
        <f t="shared" si="1"/>
        <v>0</v>
      </c>
      <c r="M54" s="236"/>
      <c r="N54" s="237"/>
      <c r="O54" s="236"/>
      <c r="P54" s="113">
        <f t="shared" si="2"/>
        <v>0.56524999999999992</v>
      </c>
      <c r="Q54" s="124">
        <f>IFERROR(VLOOKUP(K54,Données!$A$3:$B$10,2,0),0)</f>
        <v>0</v>
      </c>
      <c r="R54" s="124">
        <f t="shared" si="3"/>
        <v>0</v>
      </c>
      <c r="S54" s="18">
        <f>G54-'Situation initiale'!E76</f>
        <v>0</v>
      </c>
      <c r="T54" s="156" t="str">
        <f>IF(S54&lt;0,('Situation initiale'!J76*'Situation initiale'!M$37*duree_chauf*24/1000*(Temp_SI-Temp_ext))/(deperd_init+pertes_chau_init)*conso_init-('Situation rénovée'!L54*'Situation rénovée'!N$15*duree_chauf*24/1000*(Temp_SR-Temp_ext))/(deperd_reno+pertes_chau_reno)*conso_reno,"-")</f>
        <v>-</v>
      </c>
      <c r="U54" s="18" t="str">
        <f>IF(S54&lt;0,('Situation initiale'!J76*'Situation initiale'!M$37*duree_chauf*24/1000*(Temp_SI-Temp_ext))/(deperd_init+pertes_chau_init)*conso_init*cout_vect_init-('Situation rénovée'!L54*'Situation rénovée'!N$15*duree_chauf*24/1000*(Temp_SR-Temp_ext))/(deperd_reno+pertes_chau_reno)*conso_reno*cout_vect_reno,"-")</f>
        <v>-</v>
      </c>
      <c r="V54" s="18" t="str">
        <f t="shared" si="5"/>
        <v>-</v>
      </c>
      <c r="W54" s="10"/>
      <c r="X54" s="10"/>
      <c r="Y54" s="10"/>
      <c r="Z54" s="10"/>
      <c r="AA54" s="10"/>
      <c r="AB54" s="10"/>
      <c r="AC54" s="10"/>
      <c r="AD54" s="10"/>
      <c r="AE54" s="10"/>
      <c r="AF54" s="10"/>
      <c r="AG54" s="10"/>
      <c r="AH54" s="10"/>
      <c r="AI54" s="10"/>
      <c r="AJ54" s="10"/>
      <c r="AK54" s="10"/>
      <c r="AL54" s="10"/>
      <c r="AM54" s="10"/>
      <c r="AN54" s="10"/>
      <c r="AO54" s="10"/>
      <c r="AP54" s="10"/>
      <c r="AQ54" s="10"/>
      <c r="AR54" s="10"/>
    </row>
    <row r="55" spans="1:44" ht="12" customHeight="1" collapsed="1" x14ac:dyDescent="0.25">
      <c r="A55" s="10"/>
      <c r="B55" s="231" t="s">
        <v>102</v>
      </c>
      <c r="C55" s="49" t="s">
        <v>103</v>
      </c>
      <c r="D55" s="57" t="str">
        <f>'Situation initiale'!D77</f>
        <v>Porte 1</v>
      </c>
      <c r="E55" s="17"/>
      <c r="F55" s="156">
        <f t="shared" si="0"/>
        <v>0</v>
      </c>
      <c r="G55" s="212">
        <f>'Situation initiale'!E77</f>
        <v>0</v>
      </c>
      <c r="H55" s="213">
        <f>'Situation initiale'!F77</f>
        <v>0</v>
      </c>
      <c r="I55" s="10"/>
      <c r="J55" s="10"/>
      <c r="K55" s="10"/>
      <c r="L55" s="18">
        <f t="shared" si="1"/>
        <v>0</v>
      </c>
      <c r="M55" s="227">
        <f>+L57+L55+L56</f>
        <v>0</v>
      </c>
      <c r="N55" s="233">
        <v>1</v>
      </c>
      <c r="O55" s="227">
        <f>+N55*M55</f>
        <v>0</v>
      </c>
      <c r="P55" s="10"/>
      <c r="Q55" s="10"/>
      <c r="R55" s="10"/>
      <c r="S55" s="18">
        <f>G55-'Situation initiale'!E77</f>
        <v>0</v>
      </c>
      <c r="T55" s="156" t="str">
        <f>IF(S55&lt;0,('Situation initiale'!J77*'Situation initiale'!M$77*duree_chauf*24/1000*(Temp_SI-Temp_ext))/(deperd_init+pertes_chau_init)*conso_init-('Situation rénovée'!L55*'Situation rénovée'!N$55*duree_chauf*24/1000*(Temp_SR-Temp_ext))/(deperd_reno+pertes_chau_reno)*conso_reno,"-")</f>
        <v>-</v>
      </c>
      <c r="U55" s="18" t="str">
        <f>IF(S55&lt;0,('Situation initiale'!J77*'Situation initiale'!M$77*duree_chauf*24/1000*(Temp_SI-Temp_ext))/(deperd_init+pertes_chau_init)*conso_init*cout_vect_init-('Situation rénovée'!L55*'Situation rénovée'!N$55*duree_chauf*24/1000*(Temp_SR-Temp_ext))/(deperd_reno+pertes_chau_reno)*conso_reno*cout_vect_reno,"-")</f>
        <v>-</v>
      </c>
      <c r="V55" s="18" t="str">
        <f t="shared" si="5"/>
        <v>-</v>
      </c>
      <c r="W55" s="10"/>
      <c r="X55" s="10"/>
      <c r="Y55" s="10"/>
      <c r="Z55" s="10"/>
      <c r="AA55" s="10"/>
      <c r="AB55" s="10"/>
      <c r="AC55" s="10"/>
      <c r="AD55" s="10"/>
      <c r="AE55" s="10"/>
      <c r="AF55" s="10"/>
      <c r="AG55" s="10"/>
      <c r="AH55" s="10"/>
      <c r="AI55" s="10"/>
      <c r="AJ55" s="10"/>
      <c r="AK55" s="10"/>
      <c r="AL55" s="10"/>
      <c r="AM55" s="10"/>
      <c r="AN55" s="10"/>
      <c r="AO55" s="10"/>
      <c r="AP55" s="10"/>
      <c r="AQ55" s="10"/>
      <c r="AR55" s="10"/>
    </row>
    <row r="56" spans="1:44" ht="12" customHeight="1" x14ac:dyDescent="0.25">
      <c r="A56" s="10"/>
      <c r="B56" s="240"/>
      <c r="C56" s="81"/>
      <c r="D56" s="57" t="str">
        <f>'Situation initiale'!D78</f>
        <v>Porte 2</v>
      </c>
      <c r="E56" s="17"/>
      <c r="F56" s="156">
        <f t="shared" si="0"/>
        <v>0</v>
      </c>
      <c r="G56" s="212">
        <f>'Situation initiale'!E78</f>
        <v>0</v>
      </c>
      <c r="H56" s="213">
        <f>'Situation initiale'!F78</f>
        <v>0</v>
      </c>
      <c r="I56" s="10"/>
      <c r="J56" s="10"/>
      <c r="K56" s="10"/>
      <c r="L56" s="18">
        <f t="shared" si="1"/>
        <v>0</v>
      </c>
      <c r="M56" s="239"/>
      <c r="N56" s="241"/>
      <c r="O56" s="239"/>
      <c r="P56" s="10"/>
      <c r="Q56" s="10"/>
      <c r="R56" s="10"/>
      <c r="S56" s="18">
        <f>G56-'Situation initiale'!E78</f>
        <v>0</v>
      </c>
      <c r="T56" s="156" t="str">
        <f>IF(S56&lt;0,('Situation initiale'!J78*'Situation initiale'!M$77*duree_chauf*24/1000*(Temp_SI-Temp_ext))/(deperd_init+pertes_chau_init)*conso_init-('Situation rénovée'!L56*'Situation rénovée'!N$55*duree_chauf*24/1000*(Temp_SR-Temp_ext))/(deperd_reno+pertes_chau_reno)*conso_reno,"-")</f>
        <v>-</v>
      </c>
      <c r="U56" s="18" t="str">
        <f>IF(S56&lt;0,('Situation initiale'!J78*'Situation initiale'!M$77*duree_chauf*24/1000*(Temp_SI-Temp_ext))/(deperd_init+pertes_chau_init)*conso_init*cout_vect_init-('Situation rénovée'!L56*'Situation rénovée'!N$55*duree_chauf*24/1000*(Temp_SR-Temp_ext))/(deperd_reno+pertes_chau_reno)*conso_reno*cout_vect_reno,"-")</f>
        <v>-</v>
      </c>
      <c r="V56" s="18" t="str">
        <f t="shared" si="5"/>
        <v>-</v>
      </c>
      <c r="W56" s="10"/>
      <c r="X56" s="10"/>
      <c r="Y56" s="10"/>
      <c r="Z56" s="10"/>
      <c r="AA56" s="10"/>
      <c r="AB56" s="10"/>
      <c r="AC56" s="10"/>
      <c r="AD56" s="10"/>
      <c r="AE56" s="10"/>
      <c r="AF56" s="10"/>
      <c r="AG56" s="10"/>
      <c r="AH56" s="10"/>
      <c r="AI56" s="10"/>
      <c r="AJ56" s="10"/>
      <c r="AK56" s="10"/>
      <c r="AL56" s="10"/>
      <c r="AM56" s="10"/>
      <c r="AN56" s="10"/>
      <c r="AO56" s="10"/>
      <c r="AP56" s="10"/>
      <c r="AQ56" s="10"/>
      <c r="AR56" s="10"/>
    </row>
    <row r="57" spans="1:44" ht="12" customHeight="1" x14ac:dyDescent="0.25">
      <c r="A57" s="10"/>
      <c r="B57" s="232"/>
      <c r="C57" s="82"/>
      <c r="D57" s="57" t="str">
        <f>'Situation initiale'!D79</f>
        <v>Porte 3</v>
      </c>
      <c r="E57" s="17"/>
      <c r="F57" s="156">
        <f t="shared" si="0"/>
        <v>0</v>
      </c>
      <c r="G57" s="212">
        <f>'Situation initiale'!E79</f>
        <v>0</v>
      </c>
      <c r="H57" s="213">
        <f>'Situation initiale'!F79</f>
        <v>0</v>
      </c>
      <c r="I57" s="10"/>
      <c r="J57" s="10"/>
      <c r="K57" s="10"/>
      <c r="L57" s="18">
        <f t="shared" si="1"/>
        <v>0</v>
      </c>
      <c r="M57" s="228"/>
      <c r="N57" s="234"/>
      <c r="O57" s="228"/>
      <c r="P57" s="10"/>
      <c r="Q57" s="10"/>
      <c r="R57" s="10"/>
      <c r="S57" s="18">
        <f>G57-'Situation initiale'!E79</f>
        <v>0</v>
      </c>
      <c r="T57" s="156" t="str">
        <f>IF(S57&lt;0,('Situation initiale'!J79*'Situation initiale'!M$77*duree_chauf*24/1000*(Temp_SI-Temp_ext))/(deperd_init+pertes_chau_init)*conso_init-('Situation rénovée'!L57*'Situation rénovée'!N$55*duree_chauf*24/1000*(Temp_SR-Temp_ext))/(deperd_reno+pertes_chau_reno)*conso_reno,"-")</f>
        <v>-</v>
      </c>
      <c r="U57" s="18" t="str">
        <f>IF(S57&lt;0,('Situation initiale'!J79*'Situation initiale'!M$77*duree_chauf*24/1000*(Temp_SI-Temp_ext))/(deperd_init+pertes_chau_init)*conso_init*cout_vect_init-('Situation rénovée'!L57*'Situation rénovée'!N$55*duree_chauf*24/1000*(Temp_SR-Temp_ext))/(deperd_reno+pertes_chau_reno)*conso_reno*cout_vect_reno,"-")</f>
        <v>-</v>
      </c>
      <c r="V57" s="18" t="str">
        <f t="shared" si="5"/>
        <v>-</v>
      </c>
      <c r="W57" s="10"/>
      <c r="X57" s="10"/>
      <c r="Y57" s="10"/>
      <c r="Z57" s="10"/>
      <c r="AA57" s="10"/>
      <c r="AB57" s="10"/>
      <c r="AC57" s="10"/>
      <c r="AD57" s="10"/>
      <c r="AE57" s="10"/>
      <c r="AF57" s="10"/>
      <c r="AG57" s="10"/>
      <c r="AH57" s="10"/>
      <c r="AI57" s="10"/>
      <c r="AJ57" s="10"/>
      <c r="AK57" s="10"/>
      <c r="AL57" s="10"/>
      <c r="AM57" s="10"/>
      <c r="AN57" s="10"/>
      <c r="AO57" s="10"/>
      <c r="AP57" s="10"/>
      <c r="AQ57" s="10"/>
      <c r="AR57" s="10"/>
    </row>
    <row r="58" spans="1:44" ht="18.75" customHeight="1" x14ac:dyDescent="0.25">
      <c r="A58" s="10"/>
      <c r="B58" s="86"/>
      <c r="C58" s="86" t="s">
        <v>107</v>
      </c>
      <c r="D58" s="14"/>
      <c r="E58" s="18" t="e">
        <f>F58/H58</f>
        <v>#DIV/0!</v>
      </c>
      <c r="F58" s="156">
        <f>SUBTOTAL(9,F15:F57)</f>
        <v>0</v>
      </c>
      <c r="G58" s="18" t="e">
        <f>O58/H58</f>
        <v>#DIV/0!</v>
      </c>
      <c r="H58" s="18">
        <f>SUBTOTAL(9,H15:H57)</f>
        <v>0</v>
      </c>
      <c r="I58" s="10"/>
      <c r="J58" s="10"/>
      <c r="K58" s="10"/>
      <c r="L58" s="18">
        <f>SUM(L15:L57)</f>
        <v>0</v>
      </c>
      <c r="M58" s="18">
        <f t="shared" ref="M58:R58" si="6">SUM(M15:M57)</f>
        <v>0</v>
      </c>
      <c r="N58" s="57"/>
      <c r="O58" s="18">
        <f t="shared" si="6"/>
        <v>0</v>
      </c>
      <c r="P58" s="57"/>
      <c r="Q58" s="18">
        <f t="shared" si="6"/>
        <v>0</v>
      </c>
      <c r="R58" s="18">
        <f t="shared" si="6"/>
        <v>0</v>
      </c>
      <c r="S58" s="18">
        <f>SUBTOTAL(9,S15:S57)</f>
        <v>0</v>
      </c>
      <c r="T58" s="156">
        <f>SUBTOTAL(9,T15:T57)</f>
        <v>0</v>
      </c>
      <c r="U58" s="18">
        <f>SUBTOTAL(9,U15:U57)</f>
        <v>0</v>
      </c>
      <c r="V58" s="18" t="str">
        <f t="shared" si="5"/>
        <v>-</v>
      </c>
      <c r="W58" s="10"/>
      <c r="X58" s="10"/>
      <c r="Y58" s="10"/>
      <c r="Z58" s="10"/>
      <c r="AA58" s="10"/>
      <c r="AB58" s="10"/>
      <c r="AC58" s="10"/>
      <c r="AD58" s="10"/>
      <c r="AE58" s="10"/>
      <c r="AF58" s="10"/>
      <c r="AG58" s="10"/>
      <c r="AH58" s="10"/>
      <c r="AI58" s="10"/>
      <c r="AJ58" s="10"/>
      <c r="AK58" s="10"/>
      <c r="AL58" s="10"/>
      <c r="AM58" s="10"/>
      <c r="AN58" s="10"/>
      <c r="AO58" s="10"/>
      <c r="AP58" s="10"/>
    </row>
    <row r="59" spans="1:44" ht="12" customHeight="1" x14ac:dyDescent="0.25">
      <c r="A59" s="10"/>
      <c r="B59" s="231" t="s">
        <v>108</v>
      </c>
      <c r="C59" s="49" t="s">
        <v>109</v>
      </c>
      <c r="D59" s="57" t="str">
        <f>'Situation initiale'!D81</f>
        <v>mur ext 1</v>
      </c>
      <c r="E59" s="17"/>
      <c r="F59" s="156">
        <f t="shared" si="0"/>
        <v>0</v>
      </c>
      <c r="G59" s="212">
        <f>'Situation initiale'!E81</f>
        <v>0</v>
      </c>
      <c r="H59" s="213">
        <f>'Situation initiale'!F81</f>
        <v>0</v>
      </c>
      <c r="I59" s="10"/>
      <c r="J59" s="10"/>
      <c r="K59" s="10"/>
      <c r="L59" s="18">
        <f t="shared" ref="L59:L90" si="7">G59*H59</f>
        <v>0</v>
      </c>
      <c r="M59" s="227">
        <f>SUM(L59:L68)</f>
        <v>0</v>
      </c>
      <c r="N59" s="233">
        <v>1</v>
      </c>
      <c r="O59" s="227">
        <f>+N59*M59</f>
        <v>0</v>
      </c>
      <c r="P59" s="32"/>
      <c r="Q59" s="10"/>
      <c r="R59" s="125"/>
      <c r="S59" s="18">
        <f>G59-'Situation initiale'!E81</f>
        <v>0</v>
      </c>
      <c r="T59" s="156" t="str">
        <f>IF(S59&lt;0,('Situation initiale'!J81*'Situation initiale'!M$81*duree_chauf*24/1000*(Temp_SI-Temp_ext))/(deperd_init+pertes_chau_init)*conso_init-('Situation rénovée'!L59*'Situation rénovée'!N$59*duree_chauf*24/1000*(Temp_SR-Temp_ext))/(deperd_reno+pertes_chau_reno)*conso_reno,"-")</f>
        <v>-</v>
      </c>
      <c r="U59" s="18" t="str">
        <f>IF(S59&lt;0,('Situation initiale'!J81*'Situation initiale'!M$81*duree_chauf*24/1000*(Temp_SI-Temp_ext))/(deperd_init+pertes_chau_init)*conso_init*cout_vect_init-('Situation rénovée'!L59*'Situation rénovée'!N$59*duree_chauf*24/1000*(Temp_SR-Temp_ext))/(deperd_reno+pertes_chau_reno)*conso_reno*cout_vect_reno,"-")</f>
        <v>-</v>
      </c>
      <c r="V59" s="18" t="str">
        <f t="shared" si="5"/>
        <v>-</v>
      </c>
      <c r="W59" s="10"/>
      <c r="X59" s="10"/>
      <c r="Y59" s="10"/>
      <c r="Z59" s="10"/>
      <c r="AA59" s="10"/>
      <c r="AB59" s="10"/>
      <c r="AC59" s="10"/>
      <c r="AD59" s="10"/>
      <c r="AE59" s="10"/>
      <c r="AF59" s="10"/>
      <c r="AG59" s="10"/>
      <c r="AH59" s="10"/>
      <c r="AI59" s="10"/>
      <c r="AJ59" s="10"/>
      <c r="AK59" s="10"/>
      <c r="AL59" s="10"/>
      <c r="AM59" s="10"/>
      <c r="AN59" s="10"/>
      <c r="AO59" s="10"/>
      <c r="AP59" s="10"/>
      <c r="AQ59" s="10"/>
      <c r="AR59" s="10"/>
    </row>
    <row r="60" spans="1:44" ht="12" customHeight="1" x14ac:dyDescent="0.25">
      <c r="A60" s="10"/>
      <c r="B60" s="240"/>
      <c r="C60" s="81"/>
      <c r="D60" s="57" t="str">
        <f>'Situation initiale'!D82</f>
        <v>mur ext 2</v>
      </c>
      <c r="E60" s="17"/>
      <c r="F60" s="156">
        <f t="shared" si="0"/>
        <v>0</v>
      </c>
      <c r="G60" s="212">
        <f>'Situation initiale'!E82</f>
        <v>0</v>
      </c>
      <c r="H60" s="213">
        <f>'Situation initiale'!F82</f>
        <v>0</v>
      </c>
      <c r="I60" s="10"/>
      <c r="J60" s="10"/>
      <c r="K60" s="10"/>
      <c r="L60" s="18">
        <f t="shared" si="7"/>
        <v>0</v>
      </c>
      <c r="M60" s="239"/>
      <c r="N60" s="241"/>
      <c r="O60" s="239"/>
      <c r="P60" s="32"/>
      <c r="Q60" s="10"/>
      <c r="R60" s="10"/>
      <c r="S60" s="18">
        <f>G60-'Situation initiale'!E82</f>
        <v>0</v>
      </c>
      <c r="T60" s="156" t="str">
        <f>IF(S60&lt;0,('Situation initiale'!J82*'Situation initiale'!M$81*duree_chauf*24/1000*(Temp_SI-Temp_ext))/(deperd_init+pertes_chau_init)*conso_init-('Situation rénovée'!L60*'Situation rénovée'!N$59*duree_chauf*24/1000*(Temp_SR-Temp_ext))/(deperd_reno+pertes_chau_reno)*conso_reno,"-")</f>
        <v>-</v>
      </c>
      <c r="U60" s="18" t="str">
        <f>IF(S60&lt;0,('Situation initiale'!J82*'Situation initiale'!M$81*duree_chauf*24/1000*(Temp_SI-Temp_ext))/(deperd_init+pertes_chau_init)*conso_init*cout_vect_init-('Situation rénovée'!L60*'Situation rénovée'!N$59*duree_chauf*24/1000*(Temp_SR-Temp_ext))/(deperd_reno+pertes_chau_reno)*conso_reno*cout_vect_reno,"-")</f>
        <v>-</v>
      </c>
      <c r="V60" s="18" t="str">
        <f t="shared" si="5"/>
        <v>-</v>
      </c>
      <c r="W60" s="10"/>
      <c r="X60" s="10"/>
      <c r="Y60" s="10"/>
      <c r="Z60" s="10"/>
      <c r="AA60" s="10"/>
      <c r="AB60" s="10"/>
      <c r="AC60" s="10"/>
      <c r="AD60" s="10"/>
      <c r="AE60" s="10"/>
      <c r="AF60" s="10"/>
      <c r="AG60" s="10"/>
      <c r="AH60" s="10"/>
      <c r="AI60" s="10"/>
      <c r="AJ60" s="10"/>
      <c r="AK60" s="10"/>
      <c r="AL60" s="10"/>
      <c r="AM60" s="10"/>
      <c r="AN60" s="10"/>
      <c r="AO60" s="10"/>
      <c r="AP60" s="10"/>
      <c r="AQ60" s="10"/>
      <c r="AR60" s="10"/>
    </row>
    <row r="61" spans="1:44" ht="12" customHeight="1" x14ac:dyDescent="0.25">
      <c r="A61" s="10"/>
      <c r="B61" s="240"/>
      <c r="C61" s="81"/>
      <c r="D61" s="57" t="str">
        <f>'Situation initiale'!D83</f>
        <v>mur ext 3</v>
      </c>
      <c r="E61" s="17"/>
      <c r="F61" s="156">
        <f t="shared" si="0"/>
        <v>0</v>
      </c>
      <c r="G61" s="212">
        <f>'Situation initiale'!E83</f>
        <v>0</v>
      </c>
      <c r="H61" s="213">
        <f>'Situation initiale'!F83</f>
        <v>0</v>
      </c>
      <c r="I61" s="10"/>
      <c r="J61" s="10"/>
      <c r="K61" s="10"/>
      <c r="L61" s="18">
        <f t="shared" si="7"/>
        <v>0</v>
      </c>
      <c r="M61" s="239"/>
      <c r="N61" s="241"/>
      <c r="O61" s="239"/>
      <c r="P61" s="32"/>
      <c r="Q61" s="10"/>
      <c r="R61" s="10"/>
      <c r="S61" s="18">
        <f>G61-'Situation initiale'!E83</f>
        <v>0</v>
      </c>
      <c r="T61" s="156" t="str">
        <f>IF(S61&lt;0,('Situation initiale'!J83*'Situation initiale'!M$81*duree_chauf*24/1000*(Temp_SI-Temp_ext))/(deperd_init+pertes_chau_init)*conso_init-('Situation rénovée'!L61*'Situation rénovée'!N$59*duree_chauf*24/1000*(Temp_SR-Temp_ext))/(deperd_reno+pertes_chau_reno)*conso_reno,"-")</f>
        <v>-</v>
      </c>
      <c r="U61" s="18" t="str">
        <f>IF(S61&lt;0,('Situation initiale'!J83*'Situation initiale'!M$81*duree_chauf*24/1000*(Temp_SI-Temp_ext))/(deperd_init+pertes_chau_init)*conso_init*cout_vect_init-('Situation rénovée'!L61*'Situation rénovée'!N$59*duree_chauf*24/1000*(Temp_SR-Temp_ext))/(deperd_reno+pertes_chau_reno)*conso_reno*cout_vect_reno,"-")</f>
        <v>-</v>
      </c>
      <c r="V61" s="18" t="str">
        <f t="shared" si="5"/>
        <v>-</v>
      </c>
      <c r="W61" s="10"/>
      <c r="X61" s="10"/>
      <c r="Y61" s="10"/>
      <c r="Z61" s="10"/>
      <c r="AA61" s="10"/>
      <c r="AB61" s="10"/>
      <c r="AC61" s="10"/>
      <c r="AD61" s="10"/>
      <c r="AE61" s="10"/>
      <c r="AF61" s="10"/>
      <c r="AG61" s="10"/>
      <c r="AH61" s="10"/>
      <c r="AI61" s="10"/>
      <c r="AJ61" s="10"/>
      <c r="AK61" s="10"/>
      <c r="AL61" s="10"/>
      <c r="AM61" s="10"/>
      <c r="AN61" s="10"/>
      <c r="AO61" s="10"/>
      <c r="AP61" s="10"/>
      <c r="AQ61" s="10"/>
      <c r="AR61" s="10"/>
    </row>
    <row r="62" spans="1:44" ht="12" customHeight="1" x14ac:dyDescent="0.25">
      <c r="A62" s="10"/>
      <c r="B62" s="240"/>
      <c r="C62" s="81"/>
      <c r="D62" s="57" t="str">
        <f>'Situation initiale'!D84</f>
        <v>mur ext 4</v>
      </c>
      <c r="E62" s="17"/>
      <c r="F62" s="156">
        <f t="shared" si="0"/>
        <v>0</v>
      </c>
      <c r="G62" s="212">
        <f>'Situation initiale'!E84</f>
        <v>0</v>
      </c>
      <c r="H62" s="213">
        <f>'Situation initiale'!F84</f>
        <v>0</v>
      </c>
      <c r="I62" s="10"/>
      <c r="J62" s="10"/>
      <c r="K62" s="10"/>
      <c r="L62" s="18">
        <f t="shared" si="7"/>
        <v>0</v>
      </c>
      <c r="M62" s="239"/>
      <c r="N62" s="241"/>
      <c r="O62" s="239"/>
      <c r="P62" s="32"/>
      <c r="Q62" s="10"/>
      <c r="R62" s="10"/>
      <c r="S62" s="18">
        <f>G62-'Situation initiale'!E84</f>
        <v>0</v>
      </c>
      <c r="T62" s="156" t="str">
        <f>IF(S62&lt;0,('Situation initiale'!J84*'Situation initiale'!M$81*duree_chauf*24/1000*(Temp_SI-Temp_ext))/(deperd_init+pertes_chau_init)*conso_init-('Situation rénovée'!L62*'Situation rénovée'!N$59*duree_chauf*24/1000*(Temp_SR-Temp_ext))/(deperd_reno+pertes_chau_reno)*conso_reno,"-")</f>
        <v>-</v>
      </c>
      <c r="U62" s="18" t="str">
        <f>IF(S62&lt;0,('Situation initiale'!J84*'Situation initiale'!M$81*duree_chauf*24/1000*(Temp_SI-Temp_ext))/(deperd_init+pertes_chau_init)*conso_init*cout_vect_init-('Situation rénovée'!L62*'Situation rénovée'!N$59*duree_chauf*24/1000*(Temp_SR-Temp_ext))/(deperd_reno+pertes_chau_reno)*conso_reno*cout_vect_reno,"-")</f>
        <v>-</v>
      </c>
      <c r="V62" s="18" t="str">
        <f t="shared" si="5"/>
        <v>-</v>
      </c>
      <c r="W62" s="10"/>
      <c r="X62" s="10"/>
      <c r="Y62" s="10"/>
      <c r="Z62" s="10"/>
      <c r="AA62" s="10"/>
      <c r="AB62" s="10"/>
      <c r="AC62" s="10"/>
      <c r="AD62" s="10"/>
      <c r="AE62" s="10"/>
      <c r="AF62" s="10"/>
      <c r="AG62" s="10"/>
      <c r="AH62" s="10"/>
      <c r="AI62" s="10"/>
      <c r="AJ62" s="10"/>
      <c r="AK62" s="10"/>
      <c r="AL62" s="10"/>
      <c r="AM62" s="10"/>
      <c r="AN62" s="10"/>
      <c r="AO62" s="10"/>
      <c r="AP62" s="10"/>
      <c r="AQ62" s="10"/>
      <c r="AR62" s="10"/>
    </row>
    <row r="63" spans="1:44" ht="12" customHeight="1" x14ac:dyDescent="0.25">
      <c r="A63" s="10"/>
      <c r="B63" s="240"/>
      <c r="C63" s="81"/>
      <c r="D63" s="57" t="str">
        <f>'Situation initiale'!D85</f>
        <v>mur ext 5</v>
      </c>
      <c r="E63" s="17"/>
      <c r="F63" s="156">
        <f t="shared" si="0"/>
        <v>0</v>
      </c>
      <c r="G63" s="212">
        <f>'Situation initiale'!E85</f>
        <v>0</v>
      </c>
      <c r="H63" s="213">
        <f>'Situation initiale'!F85</f>
        <v>0</v>
      </c>
      <c r="I63" s="10"/>
      <c r="J63" s="10"/>
      <c r="K63" s="10"/>
      <c r="L63" s="18">
        <f t="shared" si="7"/>
        <v>0</v>
      </c>
      <c r="M63" s="239"/>
      <c r="N63" s="241"/>
      <c r="O63" s="239"/>
      <c r="P63" s="32"/>
      <c r="Q63" s="10"/>
      <c r="R63" s="10"/>
      <c r="S63" s="18">
        <f>G63-'Situation initiale'!E85</f>
        <v>0</v>
      </c>
      <c r="T63" s="156" t="str">
        <f>IF(S63&lt;0,('Situation initiale'!J85*'Situation initiale'!M$81*duree_chauf*24/1000*(Temp_SI-Temp_ext))/(deperd_init+pertes_chau_init)*conso_init-('Situation rénovée'!L63*'Situation rénovée'!N$59*duree_chauf*24/1000*(Temp_SR-Temp_ext))/(deperd_reno+pertes_chau_reno)*conso_reno,"-")</f>
        <v>-</v>
      </c>
      <c r="U63" s="18" t="str">
        <f>IF(S63&lt;0,('Situation initiale'!J85*'Situation initiale'!M$81*duree_chauf*24/1000*(Temp_SI-Temp_ext))/(deperd_init+pertes_chau_init)*conso_init*cout_vect_init-('Situation rénovée'!L63*'Situation rénovée'!N$59*duree_chauf*24/1000*(Temp_SR-Temp_ext))/(deperd_reno+pertes_chau_reno)*conso_reno*cout_vect_reno,"-")</f>
        <v>-</v>
      </c>
      <c r="V63" s="18" t="str">
        <f t="shared" si="5"/>
        <v>-</v>
      </c>
      <c r="W63" s="10"/>
      <c r="X63" s="10"/>
      <c r="Y63" s="10"/>
      <c r="Z63" s="10"/>
      <c r="AA63" s="10"/>
      <c r="AB63" s="10"/>
      <c r="AC63" s="10"/>
      <c r="AD63" s="10"/>
      <c r="AE63" s="10"/>
      <c r="AF63" s="10"/>
      <c r="AG63" s="10"/>
      <c r="AH63" s="10"/>
      <c r="AI63" s="10"/>
      <c r="AJ63" s="10"/>
      <c r="AK63" s="10"/>
      <c r="AL63" s="10"/>
      <c r="AM63" s="10"/>
      <c r="AN63" s="10"/>
      <c r="AO63" s="10"/>
      <c r="AP63" s="10"/>
      <c r="AQ63" s="10"/>
      <c r="AR63" s="10"/>
    </row>
    <row r="64" spans="1:44" ht="12" customHeight="1" x14ac:dyDescent="0.25">
      <c r="A64" s="10"/>
      <c r="B64" s="240"/>
      <c r="C64" s="81"/>
      <c r="D64" s="57" t="str">
        <f>'Situation initiale'!D86</f>
        <v>mur ext 6</v>
      </c>
      <c r="E64" s="17"/>
      <c r="F64" s="156">
        <f t="shared" si="0"/>
        <v>0</v>
      </c>
      <c r="G64" s="212">
        <f>'Situation initiale'!E86</f>
        <v>0</v>
      </c>
      <c r="H64" s="213">
        <f>'Situation initiale'!F86</f>
        <v>0</v>
      </c>
      <c r="I64" s="10"/>
      <c r="J64" s="10"/>
      <c r="K64" s="10"/>
      <c r="L64" s="18">
        <f t="shared" si="7"/>
        <v>0</v>
      </c>
      <c r="M64" s="239"/>
      <c r="N64" s="241"/>
      <c r="O64" s="239"/>
      <c r="P64" s="32"/>
      <c r="Q64" s="10"/>
      <c r="R64" s="10"/>
      <c r="S64" s="18">
        <f>G64-'Situation initiale'!E86</f>
        <v>0</v>
      </c>
      <c r="T64" s="156" t="str">
        <f>IF(S64&lt;0,('Situation initiale'!J86*'Situation initiale'!M$81*duree_chauf*24/1000*(Temp_SI-Temp_ext))/(deperd_init+pertes_chau_init)*conso_init-('Situation rénovée'!L64*'Situation rénovée'!N$59*duree_chauf*24/1000*(Temp_SR-Temp_ext))/(deperd_reno+pertes_chau_reno)*conso_reno,"-")</f>
        <v>-</v>
      </c>
      <c r="U64" s="18" t="str">
        <f>IF(S64&lt;0,('Situation initiale'!J86*'Situation initiale'!M$81*duree_chauf*24/1000*(Temp_SI-Temp_ext))/(deperd_init+pertes_chau_init)*conso_init*cout_vect_init-('Situation rénovée'!L64*'Situation rénovée'!N$59*duree_chauf*24/1000*(Temp_SR-Temp_ext))/(deperd_reno+pertes_chau_reno)*conso_reno*cout_vect_reno,"-")</f>
        <v>-</v>
      </c>
      <c r="V64" s="18" t="str">
        <f t="shared" si="5"/>
        <v>-</v>
      </c>
      <c r="W64" s="10"/>
      <c r="X64" s="10"/>
      <c r="Y64" s="10"/>
      <c r="Z64" s="10"/>
      <c r="AA64" s="10"/>
      <c r="AB64" s="10"/>
      <c r="AC64" s="10"/>
      <c r="AD64" s="10"/>
      <c r="AE64" s="10"/>
      <c r="AF64" s="10"/>
      <c r="AG64" s="10"/>
      <c r="AH64" s="10"/>
      <c r="AI64" s="10"/>
      <c r="AJ64" s="10"/>
      <c r="AK64" s="10"/>
      <c r="AL64" s="10"/>
      <c r="AM64" s="10"/>
      <c r="AN64" s="10"/>
      <c r="AO64" s="10"/>
      <c r="AP64" s="10"/>
      <c r="AQ64" s="10"/>
      <c r="AR64" s="10"/>
    </row>
    <row r="65" spans="1:44" ht="12" customHeight="1" x14ac:dyDescent="0.25">
      <c r="A65" s="10"/>
      <c r="B65" s="240"/>
      <c r="C65" s="81"/>
      <c r="D65" s="57" t="str">
        <f>'Situation initiale'!D87</f>
        <v>mur ext 7</v>
      </c>
      <c r="E65" s="17"/>
      <c r="F65" s="156">
        <f t="shared" si="0"/>
        <v>0</v>
      </c>
      <c r="G65" s="212">
        <f>'Situation initiale'!E87</f>
        <v>0</v>
      </c>
      <c r="H65" s="213">
        <f>'Situation initiale'!F87</f>
        <v>0</v>
      </c>
      <c r="I65" s="10"/>
      <c r="J65" s="10"/>
      <c r="K65" s="10"/>
      <c r="L65" s="18">
        <f t="shared" si="7"/>
        <v>0</v>
      </c>
      <c r="M65" s="239"/>
      <c r="N65" s="241"/>
      <c r="O65" s="239"/>
      <c r="P65" s="32"/>
      <c r="Q65" s="10"/>
      <c r="R65" s="10"/>
      <c r="S65" s="18">
        <f>G65-'Situation initiale'!E87</f>
        <v>0</v>
      </c>
      <c r="T65" s="156" t="str">
        <f>IF(S65&lt;0,('Situation initiale'!J87*'Situation initiale'!M$81*duree_chauf*24/1000*(Temp_SI-Temp_ext))/(deperd_init+pertes_chau_init)*conso_init-('Situation rénovée'!L65*'Situation rénovée'!N$59*duree_chauf*24/1000*(Temp_SR-Temp_ext))/(deperd_reno+pertes_chau_reno)*conso_reno,"-")</f>
        <v>-</v>
      </c>
      <c r="U65" s="18" t="str">
        <f>IF(S65&lt;0,('Situation initiale'!J87*'Situation initiale'!M$81*duree_chauf*24/1000*(Temp_SI-Temp_ext))/(deperd_init+pertes_chau_init)*conso_init*cout_vect_init-('Situation rénovée'!L65*'Situation rénovée'!N$59*duree_chauf*24/1000*(Temp_SR-Temp_ext))/(deperd_reno+pertes_chau_reno)*conso_reno*cout_vect_reno,"-")</f>
        <v>-</v>
      </c>
      <c r="V65" s="18" t="str">
        <f t="shared" si="5"/>
        <v>-</v>
      </c>
      <c r="W65" s="10"/>
      <c r="X65" s="10"/>
      <c r="Y65" s="10"/>
      <c r="Z65" s="10"/>
      <c r="AA65" s="10"/>
      <c r="AB65" s="10"/>
      <c r="AC65" s="10"/>
      <c r="AD65" s="10"/>
      <c r="AE65" s="10"/>
      <c r="AF65" s="10"/>
      <c r="AG65" s="10"/>
      <c r="AH65" s="10"/>
      <c r="AI65" s="10"/>
      <c r="AJ65" s="10"/>
      <c r="AK65" s="10"/>
      <c r="AL65" s="10"/>
      <c r="AM65" s="10"/>
      <c r="AN65" s="10"/>
      <c r="AO65" s="10"/>
      <c r="AP65" s="10"/>
      <c r="AQ65" s="10"/>
      <c r="AR65" s="10"/>
    </row>
    <row r="66" spans="1:44" ht="12" customHeight="1" x14ac:dyDescent="0.25">
      <c r="A66" s="10"/>
      <c r="B66" s="240"/>
      <c r="C66" s="81"/>
      <c r="D66" s="57" t="str">
        <f>'Situation initiale'!D88</f>
        <v>mur ext 8</v>
      </c>
      <c r="E66" s="17"/>
      <c r="F66" s="156">
        <f t="shared" si="0"/>
        <v>0</v>
      </c>
      <c r="G66" s="212">
        <f>'Situation initiale'!E88</f>
        <v>0</v>
      </c>
      <c r="H66" s="213">
        <f>'Situation initiale'!F88</f>
        <v>0</v>
      </c>
      <c r="I66" s="10"/>
      <c r="J66" s="10"/>
      <c r="K66" s="10"/>
      <c r="L66" s="18">
        <f t="shared" si="7"/>
        <v>0</v>
      </c>
      <c r="M66" s="239"/>
      <c r="N66" s="241"/>
      <c r="O66" s="239"/>
      <c r="P66" s="32"/>
      <c r="Q66" s="10"/>
      <c r="R66" s="10"/>
      <c r="S66" s="18">
        <f>G66-'Situation initiale'!E88</f>
        <v>0</v>
      </c>
      <c r="T66" s="156" t="str">
        <f>IF(S66&lt;0,('Situation initiale'!J88*'Situation initiale'!M$81*duree_chauf*24/1000*(Temp_SI-Temp_ext))/(deperd_init+pertes_chau_init)*conso_init-('Situation rénovée'!L66*'Situation rénovée'!N$59*duree_chauf*24/1000*(Temp_SR-Temp_ext))/(deperd_reno+pertes_chau_reno)*conso_reno,"-")</f>
        <v>-</v>
      </c>
      <c r="U66" s="18" t="str">
        <f>IF(S66&lt;0,('Situation initiale'!J88*'Situation initiale'!M$81*duree_chauf*24/1000*(Temp_SI-Temp_ext))/(deperd_init+pertes_chau_init)*conso_init*cout_vect_init-('Situation rénovée'!L66*'Situation rénovée'!N$59*duree_chauf*24/1000*(Temp_SR-Temp_ext))/(deperd_reno+pertes_chau_reno)*conso_reno*cout_vect_reno,"-")</f>
        <v>-</v>
      </c>
      <c r="V66" s="18" t="str">
        <f t="shared" si="5"/>
        <v>-</v>
      </c>
      <c r="W66" s="10"/>
      <c r="X66" s="10"/>
      <c r="Y66" s="10"/>
      <c r="Z66" s="10"/>
      <c r="AA66" s="10"/>
      <c r="AB66" s="10"/>
      <c r="AC66" s="10"/>
      <c r="AD66" s="10"/>
      <c r="AE66" s="10"/>
      <c r="AF66" s="10"/>
      <c r="AG66" s="10"/>
      <c r="AH66" s="10"/>
      <c r="AI66" s="10"/>
      <c r="AJ66" s="10"/>
      <c r="AK66" s="10"/>
      <c r="AL66" s="10"/>
      <c r="AM66" s="10"/>
      <c r="AN66" s="10"/>
      <c r="AO66" s="10"/>
      <c r="AP66" s="10"/>
      <c r="AQ66" s="10"/>
      <c r="AR66" s="10"/>
    </row>
    <row r="67" spans="1:44" ht="12" customHeight="1" x14ac:dyDescent="0.25">
      <c r="A67" s="10"/>
      <c r="B67" s="240"/>
      <c r="C67" s="81"/>
      <c r="D67" s="57" t="str">
        <f>'Situation initiale'!D89</f>
        <v>mur ext 9</v>
      </c>
      <c r="E67" s="17"/>
      <c r="F67" s="156">
        <f t="shared" si="0"/>
        <v>0</v>
      </c>
      <c r="G67" s="212">
        <f>'Situation initiale'!E89</f>
        <v>0</v>
      </c>
      <c r="H67" s="213">
        <f>'Situation initiale'!F89</f>
        <v>0</v>
      </c>
      <c r="I67" s="10"/>
      <c r="J67" s="10"/>
      <c r="K67" s="10"/>
      <c r="L67" s="18">
        <f t="shared" si="7"/>
        <v>0</v>
      </c>
      <c r="M67" s="239"/>
      <c r="N67" s="241"/>
      <c r="O67" s="239"/>
      <c r="P67" s="32"/>
      <c r="Q67" s="10"/>
      <c r="R67" s="10"/>
      <c r="S67" s="18">
        <f>G67-'Situation initiale'!E89</f>
        <v>0</v>
      </c>
      <c r="T67" s="156" t="str">
        <f>IF(S67&lt;0,('Situation initiale'!J89*'Situation initiale'!M$81*duree_chauf*24/1000*(Temp_SI-Temp_ext))/(deperd_init+pertes_chau_init)*conso_init-('Situation rénovée'!L67*'Situation rénovée'!N$59*duree_chauf*24/1000*(Temp_SR-Temp_ext))/(deperd_reno+pertes_chau_reno)*conso_reno,"-")</f>
        <v>-</v>
      </c>
      <c r="U67" s="18" t="str">
        <f>IF(S67&lt;0,('Situation initiale'!J89*'Situation initiale'!M$81*duree_chauf*24/1000*(Temp_SI-Temp_ext))/(deperd_init+pertes_chau_init)*conso_init*cout_vect_init-('Situation rénovée'!L67*'Situation rénovée'!N$59*duree_chauf*24/1000*(Temp_SR-Temp_ext))/(deperd_reno+pertes_chau_reno)*conso_reno*cout_vect_reno,"-")</f>
        <v>-</v>
      </c>
      <c r="V67" s="18" t="str">
        <f t="shared" si="5"/>
        <v>-</v>
      </c>
      <c r="W67" s="10"/>
      <c r="X67" s="10"/>
      <c r="Y67" s="10"/>
      <c r="Z67" s="10"/>
      <c r="AA67" s="10"/>
      <c r="AB67" s="10"/>
      <c r="AC67" s="10"/>
      <c r="AD67" s="10"/>
      <c r="AE67" s="10"/>
      <c r="AF67" s="10"/>
      <c r="AG67" s="10"/>
      <c r="AH67" s="10"/>
      <c r="AI67" s="10"/>
      <c r="AJ67" s="10"/>
      <c r="AK67" s="10"/>
      <c r="AL67" s="10"/>
      <c r="AM67" s="10"/>
      <c r="AN67" s="10"/>
      <c r="AO67" s="10"/>
      <c r="AP67" s="10"/>
      <c r="AQ67" s="10"/>
      <c r="AR67" s="10"/>
    </row>
    <row r="68" spans="1:44" ht="12" customHeight="1" x14ac:dyDescent="0.25">
      <c r="A68" s="10"/>
      <c r="B68" s="232"/>
      <c r="C68" s="82"/>
      <c r="D68" s="57" t="str">
        <f>'Situation initiale'!D90</f>
        <v>mur ext 10</v>
      </c>
      <c r="E68" s="17"/>
      <c r="F68" s="156">
        <f t="shared" si="0"/>
        <v>0</v>
      </c>
      <c r="G68" s="212">
        <f>'Situation initiale'!E90</f>
        <v>0</v>
      </c>
      <c r="H68" s="213">
        <f>'Situation initiale'!F90</f>
        <v>0</v>
      </c>
      <c r="I68" s="10"/>
      <c r="J68" s="10"/>
      <c r="K68" s="10"/>
      <c r="L68" s="18">
        <f t="shared" si="7"/>
        <v>0</v>
      </c>
      <c r="M68" s="228"/>
      <c r="N68" s="234"/>
      <c r="O68" s="228"/>
      <c r="P68" s="32"/>
      <c r="Q68" s="10"/>
      <c r="R68" s="10"/>
      <c r="S68" s="18">
        <f>G68-'Situation initiale'!E90</f>
        <v>0</v>
      </c>
      <c r="T68" s="156" t="str">
        <f>IF(S68&lt;0,('Situation initiale'!J90*'Situation initiale'!M$81*duree_chauf*24/1000*(Temp_SI-Temp_ext))/(deperd_init+pertes_chau_init)*conso_init-('Situation rénovée'!L68*'Situation rénovée'!N$59*duree_chauf*24/1000*(Temp_SR-Temp_ext))/(deperd_reno+pertes_chau_reno)*conso_reno,"-")</f>
        <v>-</v>
      </c>
      <c r="U68" s="18" t="str">
        <f>IF(S68&lt;0,('Situation initiale'!J90*'Situation initiale'!M$81*duree_chauf*24/1000*(Temp_SI-Temp_ext))/(deperd_init+pertes_chau_init)*conso_init*cout_vect_init-('Situation rénovée'!L68*'Situation rénovée'!N$59*duree_chauf*24/1000*(Temp_SR-Temp_ext))/(deperd_reno+pertes_chau_reno)*conso_reno*cout_vect_reno,"-")</f>
        <v>-</v>
      </c>
      <c r="V68" s="18" t="str">
        <f t="shared" si="5"/>
        <v>-</v>
      </c>
      <c r="W68" s="10"/>
      <c r="X68" s="10"/>
      <c r="Y68" s="10"/>
      <c r="Z68" s="10"/>
      <c r="AA68" s="10"/>
      <c r="AB68" s="10"/>
      <c r="AC68" s="10"/>
      <c r="AD68" s="10"/>
      <c r="AE68" s="10"/>
      <c r="AF68" s="10"/>
      <c r="AG68" s="10"/>
      <c r="AH68" s="10"/>
      <c r="AI68" s="10"/>
      <c r="AJ68" s="10"/>
      <c r="AK68" s="10"/>
      <c r="AL68" s="10"/>
      <c r="AM68" s="10"/>
      <c r="AN68" s="10"/>
      <c r="AO68" s="10"/>
      <c r="AP68" s="10"/>
      <c r="AQ68" s="10"/>
      <c r="AR68" s="10"/>
    </row>
    <row r="69" spans="1:44" ht="12" customHeight="1" x14ac:dyDescent="0.25">
      <c r="A69" s="10"/>
      <c r="B69" s="231" t="s">
        <v>120</v>
      </c>
      <c r="C69" s="49" t="s">
        <v>121</v>
      </c>
      <c r="D69" s="57" t="str">
        <f>'Situation initiale'!D91</f>
        <v>Toit 1</v>
      </c>
      <c r="E69" s="17"/>
      <c r="F69" s="156">
        <f t="shared" si="0"/>
        <v>0</v>
      </c>
      <c r="G69" s="212">
        <f>'Situation initiale'!E91</f>
        <v>0</v>
      </c>
      <c r="H69" s="213">
        <f>'Situation initiale'!F91</f>
        <v>0</v>
      </c>
      <c r="I69" s="10"/>
      <c r="J69" s="10"/>
      <c r="K69" s="10"/>
      <c r="L69" s="18">
        <f t="shared" si="7"/>
        <v>0</v>
      </c>
      <c r="M69" s="227">
        <f>SUM(L69:L78)</f>
        <v>0</v>
      </c>
      <c r="N69" s="233">
        <v>1</v>
      </c>
      <c r="O69" s="227">
        <f>+N69*M69</f>
        <v>0</v>
      </c>
      <c r="P69" s="32"/>
      <c r="Q69" s="10"/>
      <c r="R69" s="10"/>
      <c r="S69" s="18">
        <f>G69-'Situation initiale'!E91</f>
        <v>0</v>
      </c>
      <c r="T69" s="156" t="str">
        <f>IF(S69&lt;0,('Situation initiale'!J91*'Situation initiale'!M$91*duree_chauf*24/1000*(Temp_SI-Temp_ext))/(deperd_init+pertes_chau_init)*conso_init-('Situation rénovée'!L69*'Situation rénovée'!N$69*duree_chauf*24/1000*(Temp_SR-Temp_ext))/(deperd_reno+pertes_chau_reno)*conso_reno,"-")</f>
        <v>-</v>
      </c>
      <c r="U69" s="18" t="str">
        <f>IF(S69&lt;0,('Situation initiale'!J91*'Situation initiale'!M$91*duree_chauf*24/1000*(Temp_SI-Temp_ext))/(deperd_init+pertes_chau_init)*conso_init*cout_vect_init-('Situation rénovée'!L69*'Situation rénovée'!N$69*duree_chauf*24/1000*(Temp_SR-Temp_ext))/(deperd_reno+pertes_chau_reno)*conso_reno*cout_vect_reno,"-")</f>
        <v>-</v>
      </c>
      <c r="V69" s="18" t="str">
        <f t="shared" si="5"/>
        <v>-</v>
      </c>
      <c r="W69" s="10"/>
      <c r="X69" s="10"/>
      <c r="Y69" s="10"/>
      <c r="Z69" s="10"/>
      <c r="AA69" s="10"/>
      <c r="AB69" s="10"/>
      <c r="AC69" s="10"/>
      <c r="AD69" s="10"/>
      <c r="AE69" s="10"/>
      <c r="AF69" s="10"/>
      <c r="AG69" s="10"/>
      <c r="AH69" s="10"/>
      <c r="AI69" s="10"/>
      <c r="AJ69" s="10"/>
      <c r="AK69" s="10"/>
      <c r="AL69" s="10"/>
      <c r="AM69" s="10"/>
      <c r="AN69" s="10"/>
      <c r="AO69" s="10"/>
      <c r="AP69" s="10"/>
      <c r="AQ69" s="10"/>
      <c r="AR69" s="10"/>
    </row>
    <row r="70" spans="1:44" ht="12" customHeight="1" x14ac:dyDescent="0.25">
      <c r="A70" s="10"/>
      <c r="B70" s="240"/>
      <c r="C70" s="81"/>
      <c r="D70" s="57" t="str">
        <f>'Situation initiale'!D92</f>
        <v>Toit 2</v>
      </c>
      <c r="E70" s="17"/>
      <c r="F70" s="156">
        <f t="shared" ref="F70:F77" si="8">H70*E70</f>
        <v>0</v>
      </c>
      <c r="G70" s="212">
        <f>'Situation initiale'!E92</f>
        <v>0</v>
      </c>
      <c r="H70" s="213">
        <f>'Situation initiale'!F92</f>
        <v>0</v>
      </c>
      <c r="I70" s="10"/>
      <c r="J70" s="10"/>
      <c r="K70" s="10"/>
      <c r="L70" s="18">
        <f t="shared" si="7"/>
        <v>0</v>
      </c>
      <c r="M70" s="239"/>
      <c r="N70" s="241"/>
      <c r="O70" s="239"/>
      <c r="P70" s="32"/>
      <c r="Q70" s="10"/>
      <c r="R70" s="10"/>
      <c r="S70" s="18">
        <f>G70-'Situation initiale'!E92</f>
        <v>0</v>
      </c>
      <c r="T70" s="156" t="str">
        <f>IF(S70&lt;0,('Situation initiale'!J92*'Situation initiale'!M$91*duree_chauf*24/1000*(Temp_SI-Temp_ext))/(deperd_init+pertes_chau_init)*conso_init-('Situation rénovée'!L70*'Situation rénovée'!N$69*duree_chauf*24/1000*(Temp_SR-Temp_ext))/(deperd_reno+pertes_chau_reno)*conso_reno,"-")</f>
        <v>-</v>
      </c>
      <c r="U70" s="18" t="str">
        <f>IF(S70&lt;0,('Situation initiale'!J92*'Situation initiale'!M$91*duree_chauf*24/1000*(Temp_SI-Temp_ext))/(deperd_init+pertes_chau_init)*conso_init*cout_vect_init-('Situation rénovée'!L70*'Situation rénovée'!N$69*duree_chauf*24/1000*(Temp_SR-Temp_ext))/(deperd_reno+pertes_chau_reno)*conso_reno*cout_vect_reno,"-")</f>
        <v>-</v>
      </c>
      <c r="V70" s="18" t="str">
        <f t="shared" si="5"/>
        <v>-</v>
      </c>
      <c r="W70" s="10"/>
      <c r="X70" s="10"/>
      <c r="Y70" s="10"/>
      <c r="Z70" s="10"/>
      <c r="AA70" s="10"/>
      <c r="AB70" s="10"/>
      <c r="AC70" s="10"/>
      <c r="AD70" s="10"/>
      <c r="AE70" s="10"/>
      <c r="AF70" s="10"/>
      <c r="AG70" s="10"/>
      <c r="AH70" s="10"/>
      <c r="AI70" s="10"/>
      <c r="AJ70" s="10"/>
      <c r="AK70" s="10"/>
      <c r="AL70" s="10"/>
      <c r="AM70" s="10"/>
      <c r="AN70" s="10"/>
      <c r="AO70" s="10"/>
      <c r="AP70" s="10"/>
      <c r="AQ70" s="10"/>
      <c r="AR70" s="10"/>
    </row>
    <row r="71" spans="1:44" ht="12" customHeight="1" x14ac:dyDescent="0.25">
      <c r="A71" s="10"/>
      <c r="B71" s="240"/>
      <c r="C71" s="81"/>
      <c r="D71" s="57" t="str">
        <f>'Situation initiale'!D93</f>
        <v>Toit 3</v>
      </c>
      <c r="E71" s="17"/>
      <c r="F71" s="156">
        <f t="shared" si="8"/>
        <v>0</v>
      </c>
      <c r="G71" s="212">
        <f>'Situation initiale'!E93</f>
        <v>0</v>
      </c>
      <c r="H71" s="213">
        <f>'Situation initiale'!F93</f>
        <v>0</v>
      </c>
      <c r="I71" s="10"/>
      <c r="J71" s="10"/>
      <c r="K71" s="10"/>
      <c r="L71" s="18">
        <f t="shared" si="7"/>
        <v>0</v>
      </c>
      <c r="M71" s="239"/>
      <c r="N71" s="241"/>
      <c r="O71" s="239"/>
      <c r="P71" s="32"/>
      <c r="Q71" s="10"/>
      <c r="R71" s="10"/>
      <c r="S71" s="18">
        <f>G71-'Situation initiale'!E93</f>
        <v>0</v>
      </c>
      <c r="T71" s="156" t="str">
        <f>IF(S71&lt;0,('Situation initiale'!J93*'Situation initiale'!M$91*duree_chauf*24/1000*(Temp_SI-Temp_ext))/(deperd_init+pertes_chau_init)*conso_init-('Situation rénovée'!L71*'Situation rénovée'!N$69*duree_chauf*24/1000*(Temp_SR-Temp_ext))/(deperd_reno+pertes_chau_reno)*conso_reno,"-")</f>
        <v>-</v>
      </c>
      <c r="U71" s="18" t="str">
        <f>IF(S71&lt;0,('Situation initiale'!J93*'Situation initiale'!M$91*duree_chauf*24/1000*(Temp_SI-Temp_ext))/(deperd_init+pertes_chau_init)*conso_init*cout_vect_init-('Situation rénovée'!L71*'Situation rénovée'!N$69*duree_chauf*24/1000*(Temp_SR-Temp_ext))/(deperd_reno+pertes_chau_reno)*conso_reno*cout_vect_reno,"-")</f>
        <v>-</v>
      </c>
      <c r="V71" s="18" t="str">
        <f t="shared" si="5"/>
        <v>-</v>
      </c>
      <c r="W71" s="10"/>
      <c r="X71" s="10"/>
      <c r="Y71" s="10"/>
      <c r="Z71" s="10"/>
      <c r="AA71" s="10"/>
      <c r="AB71" s="10"/>
      <c r="AC71" s="10"/>
      <c r="AD71" s="10"/>
      <c r="AE71" s="10"/>
      <c r="AF71" s="10"/>
      <c r="AG71" s="10"/>
      <c r="AH71" s="10"/>
      <c r="AI71" s="10"/>
      <c r="AJ71" s="10"/>
      <c r="AK71" s="10"/>
      <c r="AL71" s="10"/>
      <c r="AM71" s="10"/>
      <c r="AN71" s="10"/>
      <c r="AO71" s="10"/>
      <c r="AP71" s="10"/>
      <c r="AQ71" s="10"/>
      <c r="AR71" s="10"/>
    </row>
    <row r="72" spans="1:44" ht="12" customHeight="1" x14ac:dyDescent="0.25">
      <c r="A72" s="10"/>
      <c r="B72" s="240"/>
      <c r="C72" s="81"/>
      <c r="D72" s="57" t="str">
        <f>'Situation initiale'!D94</f>
        <v>Toit 4</v>
      </c>
      <c r="E72" s="17"/>
      <c r="F72" s="156">
        <f t="shared" si="8"/>
        <v>0</v>
      </c>
      <c r="G72" s="212">
        <f>'Situation initiale'!E94</f>
        <v>0</v>
      </c>
      <c r="H72" s="213">
        <f>'Situation initiale'!F94</f>
        <v>0</v>
      </c>
      <c r="I72" s="10"/>
      <c r="J72" s="10"/>
      <c r="K72" s="10"/>
      <c r="L72" s="18">
        <f t="shared" si="7"/>
        <v>0</v>
      </c>
      <c r="M72" s="239"/>
      <c r="N72" s="241"/>
      <c r="O72" s="239"/>
      <c r="P72" s="32"/>
      <c r="Q72" s="10"/>
      <c r="R72" s="10"/>
      <c r="S72" s="18">
        <f>G72-'Situation initiale'!E94</f>
        <v>0</v>
      </c>
      <c r="T72" s="156" t="str">
        <f>IF(S72&lt;0,('Situation initiale'!J94*'Situation initiale'!M$91*duree_chauf*24/1000*(Temp_SI-Temp_ext))/(deperd_init+pertes_chau_init)*conso_init-('Situation rénovée'!L72*'Situation rénovée'!N$69*duree_chauf*24/1000*(Temp_SR-Temp_ext))/(deperd_reno+pertes_chau_reno)*conso_reno,"-")</f>
        <v>-</v>
      </c>
      <c r="U72" s="18" t="str">
        <f>IF(S72&lt;0,('Situation initiale'!J94*'Situation initiale'!M$91*duree_chauf*24/1000*(Temp_SI-Temp_ext))/(deperd_init+pertes_chau_init)*conso_init*cout_vect_init-('Situation rénovée'!L72*'Situation rénovée'!N$69*duree_chauf*24/1000*(Temp_SR-Temp_ext))/(deperd_reno+pertes_chau_reno)*conso_reno*cout_vect_reno,"-")</f>
        <v>-</v>
      </c>
      <c r="V72" s="18" t="str">
        <f t="shared" si="5"/>
        <v>-</v>
      </c>
      <c r="W72" s="10"/>
      <c r="X72" s="10"/>
      <c r="Y72" s="10"/>
      <c r="Z72" s="10"/>
      <c r="AA72" s="10"/>
      <c r="AB72" s="10"/>
      <c r="AC72" s="10"/>
      <c r="AD72" s="10"/>
      <c r="AE72" s="10"/>
      <c r="AF72" s="10"/>
      <c r="AG72" s="10"/>
      <c r="AH72" s="10"/>
      <c r="AI72" s="10"/>
      <c r="AJ72" s="10"/>
      <c r="AK72" s="10"/>
      <c r="AL72" s="10"/>
      <c r="AM72" s="10"/>
      <c r="AN72" s="10"/>
      <c r="AO72" s="10"/>
      <c r="AP72" s="10"/>
      <c r="AQ72" s="10"/>
      <c r="AR72" s="10"/>
    </row>
    <row r="73" spans="1:44" ht="12" customHeight="1" x14ac:dyDescent="0.25">
      <c r="A73" s="10"/>
      <c r="B73" s="240"/>
      <c r="C73" s="81"/>
      <c r="D73" s="57" t="str">
        <f>'Situation initiale'!D95</f>
        <v>Toit 5</v>
      </c>
      <c r="E73" s="17"/>
      <c r="F73" s="156">
        <f t="shared" si="8"/>
        <v>0</v>
      </c>
      <c r="G73" s="212">
        <f>'Situation initiale'!E95</f>
        <v>0</v>
      </c>
      <c r="H73" s="213">
        <f>'Situation initiale'!F95</f>
        <v>0</v>
      </c>
      <c r="I73" s="10"/>
      <c r="J73" s="10"/>
      <c r="K73" s="10"/>
      <c r="L73" s="18">
        <f t="shared" si="7"/>
        <v>0</v>
      </c>
      <c r="M73" s="239"/>
      <c r="N73" s="241"/>
      <c r="O73" s="239"/>
      <c r="P73" s="32"/>
      <c r="Q73" s="10"/>
      <c r="R73" s="10"/>
      <c r="S73" s="18">
        <f>G73-'Situation initiale'!E95</f>
        <v>0</v>
      </c>
      <c r="T73" s="156" t="str">
        <f>IF(S73&lt;0,('Situation initiale'!J95*'Situation initiale'!M$91*duree_chauf*24/1000*(Temp_SI-Temp_ext))/(deperd_init+pertes_chau_init)*conso_init-('Situation rénovée'!L73*'Situation rénovée'!N$69*duree_chauf*24/1000*(Temp_SR-Temp_ext))/(deperd_reno+pertes_chau_reno)*conso_reno,"-")</f>
        <v>-</v>
      </c>
      <c r="U73" s="18" t="str">
        <f>IF(S73&lt;0,('Situation initiale'!J95*'Situation initiale'!M$91*duree_chauf*24/1000*(Temp_SI-Temp_ext))/(deperd_init+pertes_chau_init)*conso_init*cout_vect_init-('Situation rénovée'!L73*'Situation rénovée'!N$69*duree_chauf*24/1000*(Temp_SR-Temp_ext))/(deperd_reno+pertes_chau_reno)*conso_reno*cout_vect_reno,"-")</f>
        <v>-</v>
      </c>
      <c r="V73" s="18" t="str">
        <f t="shared" si="5"/>
        <v>-</v>
      </c>
      <c r="W73" s="10"/>
      <c r="X73" s="10"/>
      <c r="Y73" s="10"/>
      <c r="Z73" s="10"/>
      <c r="AA73" s="10"/>
      <c r="AB73" s="10"/>
      <c r="AC73" s="10"/>
      <c r="AD73" s="10"/>
      <c r="AE73" s="10"/>
      <c r="AF73" s="10"/>
      <c r="AG73" s="10"/>
      <c r="AH73" s="10"/>
      <c r="AI73" s="10"/>
      <c r="AJ73" s="10"/>
      <c r="AK73" s="10"/>
      <c r="AL73" s="10"/>
      <c r="AM73" s="10"/>
      <c r="AN73" s="10"/>
      <c r="AO73" s="10"/>
      <c r="AP73" s="10"/>
      <c r="AQ73" s="10"/>
      <c r="AR73" s="10"/>
    </row>
    <row r="74" spans="1:44" ht="12" customHeight="1" x14ac:dyDescent="0.25">
      <c r="A74" s="10"/>
      <c r="B74" s="240"/>
      <c r="C74" s="81"/>
      <c r="D74" s="57" t="str">
        <f>'Situation initiale'!D96</f>
        <v>Toit 6</v>
      </c>
      <c r="E74" s="17"/>
      <c r="F74" s="156">
        <f t="shared" si="8"/>
        <v>0</v>
      </c>
      <c r="G74" s="212">
        <f>'Situation initiale'!E96</f>
        <v>0</v>
      </c>
      <c r="H74" s="213">
        <f>'Situation initiale'!F96</f>
        <v>0</v>
      </c>
      <c r="I74" s="10"/>
      <c r="J74" s="10"/>
      <c r="K74" s="10"/>
      <c r="L74" s="18">
        <f t="shared" si="7"/>
        <v>0</v>
      </c>
      <c r="M74" s="239"/>
      <c r="N74" s="241"/>
      <c r="O74" s="239"/>
      <c r="P74" s="32"/>
      <c r="Q74" s="10"/>
      <c r="R74" s="10"/>
      <c r="S74" s="18">
        <f>G74-'Situation initiale'!E96</f>
        <v>0</v>
      </c>
      <c r="T74" s="156" t="str">
        <f>IF(S74&lt;0,('Situation initiale'!J96*'Situation initiale'!M$91*duree_chauf*24/1000*(Temp_SI-Temp_ext))/(deperd_init+pertes_chau_init)*conso_init-('Situation rénovée'!L74*'Situation rénovée'!N$69*duree_chauf*24/1000*(Temp_SR-Temp_ext))/(deperd_reno+pertes_chau_reno)*conso_reno,"-")</f>
        <v>-</v>
      </c>
      <c r="U74" s="18" t="str">
        <f>IF(S74&lt;0,('Situation initiale'!J96*'Situation initiale'!M$91*duree_chauf*24/1000*(Temp_SI-Temp_ext))/(deperd_init+pertes_chau_init)*conso_init*cout_vect_init-('Situation rénovée'!L74*'Situation rénovée'!N$69*duree_chauf*24/1000*(Temp_SR-Temp_ext))/(deperd_reno+pertes_chau_reno)*conso_reno*cout_vect_reno,"-")</f>
        <v>-</v>
      </c>
      <c r="V74" s="18" t="str">
        <f t="shared" si="5"/>
        <v>-</v>
      </c>
      <c r="W74" s="10"/>
      <c r="X74" s="10"/>
      <c r="Y74" s="10"/>
      <c r="Z74" s="10"/>
      <c r="AA74" s="10"/>
      <c r="AB74" s="10"/>
      <c r="AC74" s="10"/>
      <c r="AD74" s="10"/>
      <c r="AE74" s="10"/>
      <c r="AF74" s="10"/>
      <c r="AG74" s="10"/>
      <c r="AH74" s="10"/>
      <c r="AI74" s="10"/>
      <c r="AJ74" s="10"/>
      <c r="AK74" s="10"/>
      <c r="AL74" s="10"/>
      <c r="AM74" s="10"/>
      <c r="AN74" s="10"/>
      <c r="AO74" s="10"/>
      <c r="AP74" s="10"/>
      <c r="AQ74" s="10"/>
      <c r="AR74" s="10"/>
    </row>
    <row r="75" spans="1:44" ht="12" customHeight="1" x14ac:dyDescent="0.25">
      <c r="A75" s="10"/>
      <c r="B75" s="240"/>
      <c r="C75" s="81"/>
      <c r="D75" s="57" t="str">
        <f>'Situation initiale'!D97</f>
        <v>Toit 7</v>
      </c>
      <c r="E75" s="17"/>
      <c r="F75" s="156">
        <f t="shared" si="8"/>
        <v>0</v>
      </c>
      <c r="G75" s="212">
        <f>'Situation initiale'!E97</f>
        <v>0</v>
      </c>
      <c r="H75" s="213">
        <f>'Situation initiale'!F97</f>
        <v>0</v>
      </c>
      <c r="I75" s="10"/>
      <c r="J75" s="10"/>
      <c r="K75" s="10"/>
      <c r="L75" s="18">
        <f t="shared" si="7"/>
        <v>0</v>
      </c>
      <c r="M75" s="239"/>
      <c r="N75" s="241"/>
      <c r="O75" s="239"/>
      <c r="P75" s="32"/>
      <c r="Q75" s="10"/>
      <c r="R75" s="10"/>
      <c r="S75" s="18">
        <f>G75-'Situation initiale'!E97</f>
        <v>0</v>
      </c>
      <c r="T75" s="156" t="str">
        <f>IF(S75&lt;0,('Situation initiale'!J97*'Situation initiale'!M$91*duree_chauf*24/1000*(Temp_SI-Temp_ext))/(deperd_init+pertes_chau_init)*conso_init-('Situation rénovée'!L75*'Situation rénovée'!N$69*duree_chauf*24/1000*(Temp_SR-Temp_ext))/(deperd_reno+pertes_chau_reno)*conso_reno,"-")</f>
        <v>-</v>
      </c>
      <c r="U75" s="18" t="str">
        <f>IF(S75&lt;0,('Situation initiale'!J97*'Situation initiale'!M$91*duree_chauf*24/1000*(Temp_SI-Temp_ext))/(deperd_init+pertes_chau_init)*conso_init*cout_vect_init-('Situation rénovée'!L75*'Situation rénovée'!N$69*duree_chauf*24/1000*(Temp_SR-Temp_ext))/(deperd_reno+pertes_chau_reno)*conso_reno*cout_vect_reno,"-")</f>
        <v>-</v>
      </c>
      <c r="V75" s="18" t="str">
        <f t="shared" si="5"/>
        <v>-</v>
      </c>
      <c r="W75" s="10"/>
      <c r="X75" s="10"/>
      <c r="Y75" s="10"/>
      <c r="Z75" s="10"/>
      <c r="AA75" s="10"/>
      <c r="AB75" s="10"/>
      <c r="AC75" s="10"/>
      <c r="AD75" s="10"/>
      <c r="AE75" s="10"/>
      <c r="AF75" s="10"/>
      <c r="AG75" s="10"/>
      <c r="AH75" s="10"/>
      <c r="AI75" s="10"/>
      <c r="AJ75" s="10"/>
      <c r="AK75" s="10"/>
      <c r="AL75" s="10"/>
      <c r="AM75" s="10"/>
      <c r="AN75" s="10"/>
      <c r="AO75" s="10"/>
      <c r="AP75" s="10"/>
      <c r="AQ75" s="10"/>
      <c r="AR75" s="10"/>
    </row>
    <row r="76" spans="1:44" ht="12" customHeight="1" x14ac:dyDescent="0.25">
      <c r="A76" s="10"/>
      <c r="B76" s="240"/>
      <c r="C76" s="81"/>
      <c r="D76" s="57" t="str">
        <f>'Situation initiale'!D98</f>
        <v>Toit 8</v>
      </c>
      <c r="E76" s="17"/>
      <c r="F76" s="156">
        <f t="shared" si="8"/>
        <v>0</v>
      </c>
      <c r="G76" s="212">
        <f>'Situation initiale'!E98</f>
        <v>0</v>
      </c>
      <c r="H76" s="213">
        <f>'Situation initiale'!F98</f>
        <v>0</v>
      </c>
      <c r="I76" s="10"/>
      <c r="J76" s="10"/>
      <c r="K76" s="10"/>
      <c r="L76" s="18">
        <f t="shared" si="7"/>
        <v>0</v>
      </c>
      <c r="M76" s="239"/>
      <c r="N76" s="241"/>
      <c r="O76" s="239"/>
      <c r="P76" s="32"/>
      <c r="Q76" s="10"/>
      <c r="R76" s="10"/>
      <c r="S76" s="18">
        <f>G76-'Situation initiale'!E98</f>
        <v>0</v>
      </c>
      <c r="T76" s="156" t="str">
        <f>IF(S76&lt;0,('Situation initiale'!J98*'Situation initiale'!M$91*duree_chauf*24/1000*(Temp_SI-Temp_ext))/(deperd_init+pertes_chau_init)*conso_init-('Situation rénovée'!L76*'Situation rénovée'!N$69*duree_chauf*24/1000*(Temp_SR-Temp_ext))/(deperd_reno+pertes_chau_reno)*conso_reno,"-")</f>
        <v>-</v>
      </c>
      <c r="U76" s="18" t="str">
        <f>IF(S76&lt;0,('Situation initiale'!J98*'Situation initiale'!M$91*duree_chauf*24/1000*(Temp_SI-Temp_ext))/(deperd_init+pertes_chau_init)*conso_init*cout_vect_init-('Situation rénovée'!L76*'Situation rénovée'!N$69*duree_chauf*24/1000*(Temp_SR-Temp_ext))/(deperd_reno+pertes_chau_reno)*conso_reno*cout_vect_reno,"-")</f>
        <v>-</v>
      </c>
      <c r="V76" s="18" t="str">
        <f t="shared" si="5"/>
        <v>-</v>
      </c>
      <c r="W76" s="10"/>
      <c r="X76" s="10"/>
      <c r="Y76" s="10"/>
      <c r="Z76" s="10"/>
      <c r="AA76" s="10"/>
      <c r="AB76" s="10"/>
      <c r="AC76" s="10"/>
      <c r="AD76" s="10"/>
      <c r="AE76" s="10"/>
      <c r="AF76" s="10"/>
      <c r="AG76" s="10"/>
      <c r="AH76" s="10"/>
      <c r="AI76" s="10"/>
      <c r="AJ76" s="10"/>
      <c r="AK76" s="10"/>
      <c r="AL76" s="10"/>
      <c r="AM76" s="10"/>
      <c r="AN76" s="10"/>
      <c r="AO76" s="10"/>
      <c r="AP76" s="10"/>
      <c r="AQ76" s="10"/>
      <c r="AR76" s="10"/>
    </row>
    <row r="77" spans="1:44" ht="12" customHeight="1" x14ac:dyDescent="0.25">
      <c r="A77" s="10"/>
      <c r="B77" s="240"/>
      <c r="C77" s="81"/>
      <c r="D77" s="57" t="str">
        <f>'Situation initiale'!D99</f>
        <v>Toit 9</v>
      </c>
      <c r="E77" s="17"/>
      <c r="F77" s="156">
        <f t="shared" si="8"/>
        <v>0</v>
      </c>
      <c r="G77" s="212">
        <f>'Situation initiale'!E99</f>
        <v>0</v>
      </c>
      <c r="H77" s="213">
        <f>'Situation initiale'!F99</f>
        <v>0</v>
      </c>
      <c r="I77" s="10"/>
      <c r="J77" s="10"/>
      <c r="K77" s="10"/>
      <c r="L77" s="18">
        <f t="shared" si="7"/>
        <v>0</v>
      </c>
      <c r="M77" s="239"/>
      <c r="N77" s="241"/>
      <c r="O77" s="239"/>
      <c r="P77" s="32"/>
      <c r="Q77" s="10"/>
      <c r="R77" s="10"/>
      <c r="S77" s="18">
        <f>G77-'Situation initiale'!E99</f>
        <v>0</v>
      </c>
      <c r="T77" s="156" t="str">
        <f>IF(S77&lt;0,('Situation initiale'!J99*'Situation initiale'!M$91*duree_chauf*24/1000*(Temp_SI-Temp_ext))/(deperd_init+pertes_chau_init)*conso_init-('Situation rénovée'!L77*'Situation rénovée'!N$69*duree_chauf*24/1000*(Temp_SR-Temp_ext))/(deperd_reno+pertes_chau_reno)*conso_reno,"-")</f>
        <v>-</v>
      </c>
      <c r="U77" s="18" t="str">
        <f>IF(S77&lt;0,('Situation initiale'!J99*'Situation initiale'!M$91*duree_chauf*24/1000*(Temp_SI-Temp_ext))/(deperd_init+pertes_chau_init)*conso_init*cout_vect_init-('Situation rénovée'!L77*'Situation rénovée'!N$69*duree_chauf*24/1000*(Temp_SR-Temp_ext))/(deperd_reno+pertes_chau_reno)*conso_reno*cout_vect_reno,"-")</f>
        <v>-</v>
      </c>
      <c r="V77" s="18" t="str">
        <f t="shared" si="5"/>
        <v>-</v>
      </c>
      <c r="W77" s="10"/>
      <c r="X77" s="10"/>
      <c r="Y77" s="10"/>
      <c r="Z77" s="10"/>
      <c r="AA77" s="10"/>
      <c r="AB77" s="10"/>
      <c r="AC77" s="10"/>
      <c r="AD77" s="10"/>
      <c r="AE77" s="10"/>
      <c r="AF77" s="10"/>
      <c r="AG77" s="10"/>
      <c r="AH77" s="10"/>
      <c r="AI77" s="10"/>
      <c r="AJ77" s="10"/>
      <c r="AK77" s="10"/>
      <c r="AL77" s="10"/>
      <c r="AM77" s="10"/>
      <c r="AN77" s="10"/>
      <c r="AO77" s="10"/>
      <c r="AP77" s="10"/>
      <c r="AQ77" s="10"/>
      <c r="AR77" s="10"/>
    </row>
    <row r="78" spans="1:44" ht="12" customHeight="1" x14ac:dyDescent="0.25">
      <c r="A78" s="10"/>
      <c r="B78" s="232"/>
      <c r="C78" s="82"/>
      <c r="D78" s="57" t="str">
        <f>'Situation initiale'!D100</f>
        <v>Toit 10</v>
      </c>
      <c r="E78" s="17"/>
      <c r="F78" s="156">
        <f t="shared" si="0"/>
        <v>0</v>
      </c>
      <c r="G78" s="212">
        <f>'Situation initiale'!E100</f>
        <v>0</v>
      </c>
      <c r="H78" s="213">
        <f>'Situation initiale'!F100</f>
        <v>0</v>
      </c>
      <c r="I78" s="10"/>
      <c r="J78" s="10"/>
      <c r="K78" s="10"/>
      <c r="L78" s="18">
        <f t="shared" si="7"/>
        <v>0</v>
      </c>
      <c r="M78" s="228"/>
      <c r="N78" s="234"/>
      <c r="O78" s="228"/>
      <c r="P78" s="32"/>
      <c r="Q78" s="10"/>
      <c r="R78" s="10"/>
      <c r="S78" s="18">
        <f>G78-'Situation initiale'!E100</f>
        <v>0</v>
      </c>
      <c r="T78" s="156" t="str">
        <f>IF(S78&lt;0,('Situation initiale'!J100*'Situation initiale'!M$91*duree_chauf*24/1000*(Temp_SI-Temp_ext))/(deperd_init+pertes_chau_init)*conso_init-('Situation rénovée'!L78*'Situation rénovée'!N$69*duree_chauf*24/1000*(Temp_SR-Temp_ext))/(deperd_reno+pertes_chau_reno)*conso_reno,"-")</f>
        <v>-</v>
      </c>
      <c r="U78" s="18" t="str">
        <f>IF(S78&lt;0,('Situation initiale'!J100*'Situation initiale'!M$91*duree_chauf*24/1000*(Temp_SI-Temp_ext))/(deperd_init+pertes_chau_init)*conso_init*cout_vect_init-('Situation rénovée'!L78*'Situation rénovée'!N$69*duree_chauf*24/1000*(Temp_SR-Temp_ext))/(deperd_reno+pertes_chau_reno)*conso_reno*cout_vect_reno,"-")</f>
        <v>-</v>
      </c>
      <c r="V78" s="18" t="str">
        <f t="shared" si="5"/>
        <v>-</v>
      </c>
      <c r="W78" s="10"/>
      <c r="X78" s="10"/>
      <c r="Y78" s="10"/>
      <c r="Z78" s="10"/>
      <c r="AA78" s="10"/>
      <c r="AB78" s="10"/>
      <c r="AC78" s="10"/>
      <c r="AD78" s="10"/>
      <c r="AE78" s="10"/>
      <c r="AF78" s="10"/>
      <c r="AG78" s="10"/>
      <c r="AH78" s="10"/>
      <c r="AI78" s="10"/>
      <c r="AJ78" s="10"/>
      <c r="AK78" s="10"/>
      <c r="AL78" s="10"/>
      <c r="AM78" s="10"/>
      <c r="AN78" s="10"/>
      <c r="AO78" s="10"/>
      <c r="AP78" s="10"/>
      <c r="AQ78" s="10"/>
      <c r="AR78" s="10"/>
    </row>
    <row r="79" spans="1:44" ht="12" customHeight="1" x14ac:dyDescent="0.25">
      <c r="A79" s="10"/>
      <c r="B79" s="231" t="s">
        <v>132</v>
      </c>
      <c r="C79" s="49" t="s">
        <v>133</v>
      </c>
      <c r="D79" s="57" t="str">
        <f>'Situation initiale'!D101</f>
        <v>Sol ext 1</v>
      </c>
      <c r="E79" s="17"/>
      <c r="F79" s="156">
        <f t="shared" si="0"/>
        <v>0</v>
      </c>
      <c r="G79" s="212">
        <f>'Situation initiale'!E101</f>
        <v>0</v>
      </c>
      <c r="H79" s="213">
        <f>'Situation initiale'!F101</f>
        <v>0</v>
      </c>
      <c r="I79" s="10"/>
      <c r="J79" s="10"/>
      <c r="K79" s="10"/>
      <c r="L79" s="18">
        <f t="shared" si="7"/>
        <v>0</v>
      </c>
      <c r="M79" s="227">
        <f>+L80+L79</f>
        <v>0</v>
      </c>
      <c r="N79" s="233">
        <v>1</v>
      </c>
      <c r="O79" s="227">
        <f>+N79*M79</f>
        <v>0</v>
      </c>
      <c r="P79" s="32"/>
      <c r="Q79" s="10"/>
      <c r="R79" s="10"/>
      <c r="S79" s="18">
        <f>G79-'Situation initiale'!E101</f>
        <v>0</v>
      </c>
      <c r="T79" s="156" t="str">
        <f>IF(S79&lt;0,('Situation initiale'!J101*'Situation initiale'!M$101*duree_chauf*24/1000*(Temp_SI-Temp_ext))/(deperd_init+pertes_chau_init)*conso_init-('Situation rénovée'!L79*'Situation rénovée'!N$79*duree_chauf*24/1000*(Temp_SR-Temp_ext))/(deperd_reno+pertes_chau_reno)*conso_reno,"-")</f>
        <v>-</v>
      </c>
      <c r="U79" s="18" t="str">
        <f>IF(S79&lt;0,('Situation initiale'!J101*'Situation initiale'!M$101*duree_chauf*24/1000*(Temp_SI-Temp_ext))/(deperd_init+pertes_chau_init)*conso_init*cout_vect_init-('Situation rénovée'!L79*'Situation rénovée'!N$79*duree_chauf*24/1000*(Temp_SR-Temp_ext))/(deperd_reno+pertes_chau_reno)*conso_reno*cout_vect_reno,"-")</f>
        <v>-</v>
      </c>
      <c r="V79" s="18" t="str">
        <f t="shared" ref="V79:V91" si="9">IF(AND(S79&lt;0,U79&lt;&gt;0),F79/U79,"-")</f>
        <v>-</v>
      </c>
      <c r="W79" s="10"/>
      <c r="X79" s="10"/>
      <c r="Y79" s="10"/>
      <c r="Z79" s="10"/>
      <c r="AA79" s="10"/>
      <c r="AB79" s="10"/>
      <c r="AC79" s="10"/>
      <c r="AD79" s="10"/>
      <c r="AE79" s="10"/>
      <c r="AF79" s="10"/>
      <c r="AG79" s="10"/>
      <c r="AH79" s="10"/>
      <c r="AI79" s="10"/>
      <c r="AJ79" s="10"/>
      <c r="AK79" s="10"/>
      <c r="AL79" s="10"/>
      <c r="AM79" s="10"/>
      <c r="AN79" s="10"/>
      <c r="AO79" s="10"/>
      <c r="AP79" s="10"/>
      <c r="AQ79" s="10"/>
      <c r="AR79" s="10"/>
    </row>
    <row r="80" spans="1:44" ht="12" customHeight="1" x14ac:dyDescent="0.25">
      <c r="A80" s="10"/>
      <c r="B80" s="232"/>
      <c r="C80" s="82"/>
      <c r="D80" s="57" t="str">
        <f>'Situation initiale'!D102</f>
        <v>Sol ext 2</v>
      </c>
      <c r="E80" s="17"/>
      <c r="F80" s="156">
        <f t="shared" si="0"/>
        <v>0</v>
      </c>
      <c r="G80" s="212">
        <f>'Situation initiale'!E102</f>
        <v>0</v>
      </c>
      <c r="H80" s="213">
        <f>'Situation initiale'!F102</f>
        <v>0</v>
      </c>
      <c r="I80" s="10"/>
      <c r="J80" s="10"/>
      <c r="K80" s="10"/>
      <c r="L80" s="18">
        <f t="shared" si="7"/>
        <v>0</v>
      </c>
      <c r="M80" s="228"/>
      <c r="N80" s="234"/>
      <c r="O80" s="228"/>
      <c r="P80" s="32"/>
      <c r="Q80" s="10"/>
      <c r="R80" s="10"/>
      <c r="S80" s="18">
        <f>G80-'Situation initiale'!E102</f>
        <v>0</v>
      </c>
      <c r="T80" s="156" t="str">
        <f>IF(S80&lt;0,('Situation initiale'!J102*'Situation initiale'!M$101*duree_chauf*24/1000*(Temp_SI-Temp_ext))/(deperd_init+pertes_chau_init)*conso_init-('Situation rénovée'!L80*'Situation rénovée'!N$79*duree_chauf*24/1000*(Temp_SR-Temp_ext))/(deperd_reno+pertes_chau_reno)*conso_reno,"-")</f>
        <v>-</v>
      </c>
      <c r="U80" s="18" t="str">
        <f>IF(S80&lt;0,('Situation initiale'!J102*'Situation initiale'!M$101*duree_chauf*24/1000*(Temp_SI-Temp_ext))/(deperd_init+pertes_chau_init)*conso_init*cout_vect_init-('Situation rénovée'!L80*'Situation rénovée'!N$79*duree_chauf*24/1000*(Temp_SR-Temp_ext))/(deperd_reno+pertes_chau_reno)*conso_reno*cout_vect_reno,"-")</f>
        <v>-</v>
      </c>
      <c r="V80" s="18" t="str">
        <f t="shared" si="9"/>
        <v>-</v>
      </c>
      <c r="W80" s="10"/>
      <c r="X80" s="10"/>
      <c r="Y80" s="10"/>
      <c r="Z80" s="10"/>
      <c r="AA80" s="10"/>
      <c r="AB80" s="10"/>
      <c r="AC80" s="10"/>
      <c r="AD80" s="10"/>
      <c r="AE80" s="10"/>
      <c r="AF80" s="10"/>
      <c r="AG80" s="10"/>
      <c r="AH80" s="10"/>
      <c r="AI80" s="10"/>
      <c r="AJ80" s="10"/>
      <c r="AK80" s="10"/>
      <c r="AL80" s="10"/>
      <c r="AM80" s="10"/>
      <c r="AN80" s="10"/>
      <c r="AO80" s="10"/>
      <c r="AP80" s="10"/>
      <c r="AQ80" s="10"/>
      <c r="AR80" s="10"/>
    </row>
    <row r="81" spans="1:44" ht="12" customHeight="1" x14ac:dyDescent="0.25">
      <c r="A81" s="10"/>
      <c r="B81" s="231" t="s">
        <v>136</v>
      </c>
      <c r="C81" s="49" t="s">
        <v>137</v>
      </c>
      <c r="D81" s="57" t="str">
        <f>'Situation initiale'!D103</f>
        <v>Sol eanc 1</v>
      </c>
      <c r="E81" s="17"/>
      <c r="F81" s="156">
        <f t="shared" si="0"/>
        <v>0</v>
      </c>
      <c r="G81" s="212">
        <f>'Situation initiale'!E103</f>
        <v>0</v>
      </c>
      <c r="H81" s="213">
        <f>'Situation initiale'!F103</f>
        <v>0</v>
      </c>
      <c r="I81" s="10"/>
      <c r="J81" s="10"/>
      <c r="K81" s="10"/>
      <c r="L81" s="18">
        <f t="shared" si="7"/>
        <v>0</v>
      </c>
      <c r="M81" s="227">
        <f>+L82+L81</f>
        <v>0</v>
      </c>
      <c r="N81" s="233">
        <v>1</v>
      </c>
      <c r="O81" s="227">
        <f>+N81*M81</f>
        <v>0</v>
      </c>
      <c r="P81" s="32"/>
      <c r="Q81" s="10"/>
      <c r="R81" s="10"/>
      <c r="S81" s="18">
        <f>G81-'Situation initiale'!E103</f>
        <v>0</v>
      </c>
      <c r="T81" s="156" t="str">
        <f>IF(S81&lt;0,('Situation initiale'!J103*'Situation initiale'!M$103*duree_chauf*24/1000*(Temp_SI-Temp_ext))/(deperd_init+pertes_chau_init)*conso_init-('Situation rénovée'!L81*'Situation rénovée'!N$79*duree_chauf*24/1000*(Temp_SR-Temp_ext))/(deperd_reno+pertes_chau_reno)*conso_reno,"-")</f>
        <v>-</v>
      </c>
      <c r="U81" s="18" t="str">
        <f>IF(S81&lt;0,('Situation initiale'!J103*'Situation initiale'!M$103*duree_chauf*24/1000*(Temp_SI-Temp_ext))/(deperd_init+pertes_chau_init)*conso_init*cout_vect_init-('Situation rénovée'!L81*'Situation rénovée'!N$81*duree_chauf*24/1000*(Temp_SR-Temp_ext))/(deperd_reno+pertes_chau_reno)*conso_reno*cout_vect_reno,"-")</f>
        <v>-</v>
      </c>
      <c r="V81" s="18" t="str">
        <f t="shared" si="9"/>
        <v>-</v>
      </c>
      <c r="W81" s="10"/>
      <c r="X81" s="10"/>
      <c r="Y81" s="10"/>
      <c r="Z81" s="10"/>
      <c r="AA81" s="10"/>
      <c r="AB81" s="10"/>
      <c r="AC81" s="10"/>
      <c r="AD81" s="10"/>
      <c r="AE81" s="10"/>
      <c r="AF81" s="10"/>
      <c r="AG81" s="10"/>
      <c r="AH81" s="10"/>
      <c r="AI81" s="10"/>
      <c r="AJ81" s="10"/>
      <c r="AK81" s="10"/>
      <c r="AL81" s="10"/>
      <c r="AM81" s="10"/>
      <c r="AN81" s="10"/>
      <c r="AO81" s="10"/>
      <c r="AP81" s="10"/>
      <c r="AQ81" s="10"/>
      <c r="AR81" s="10"/>
    </row>
    <row r="82" spans="1:44" ht="12" customHeight="1" x14ac:dyDescent="0.25">
      <c r="A82" s="10"/>
      <c r="B82" s="232"/>
      <c r="C82" s="82"/>
      <c r="D82" s="57" t="str">
        <f>'Situation initiale'!D104</f>
        <v>Sol eanc 2</v>
      </c>
      <c r="E82" s="17"/>
      <c r="F82" s="156">
        <f t="shared" si="0"/>
        <v>0</v>
      </c>
      <c r="G82" s="212">
        <f>'Situation initiale'!E104</f>
        <v>0</v>
      </c>
      <c r="H82" s="213">
        <f>'Situation initiale'!F104</f>
        <v>0</v>
      </c>
      <c r="I82" s="10"/>
      <c r="J82" s="10"/>
      <c r="K82" s="10"/>
      <c r="L82" s="18">
        <f t="shared" si="7"/>
        <v>0</v>
      </c>
      <c r="M82" s="228"/>
      <c r="N82" s="234"/>
      <c r="O82" s="228"/>
      <c r="P82" s="32"/>
      <c r="Q82" s="10"/>
      <c r="R82" s="10"/>
      <c r="S82" s="18">
        <f>G82-'Situation initiale'!E104</f>
        <v>0</v>
      </c>
      <c r="T82" s="156" t="str">
        <f>IF(S82&lt;0,('Situation initiale'!J104*'Situation initiale'!M$103*duree_chauf*24/1000*(Temp_SI-Temp_ext))/(deperd_init+pertes_chau_init)*conso_init-('Situation rénovée'!L82*'Situation rénovée'!N$79*duree_chauf*24/1000*(Temp_SR-Temp_ext))/(deperd_reno+pertes_chau_reno)*conso_reno,"-")</f>
        <v>-</v>
      </c>
      <c r="U82" s="18" t="str">
        <f>IF(S82&lt;0,('Situation initiale'!J104*'Situation initiale'!M$103*duree_chauf*24/1000*(Temp_SI-Temp_ext))/(deperd_init+pertes_chau_init)*conso_init*cout_vect_init-('Situation rénovée'!L82*'Situation rénovée'!N$81*duree_chauf*24/1000*(Temp_SR-Temp_ext))/(deperd_reno+pertes_chau_reno)*conso_reno*cout_vect_reno,"-")</f>
        <v>-</v>
      </c>
      <c r="V82" s="18" t="str">
        <f t="shared" si="9"/>
        <v>-</v>
      </c>
      <c r="W82" s="10"/>
      <c r="X82" s="10"/>
      <c r="Y82" s="10"/>
      <c r="Z82" s="10"/>
      <c r="AA82" s="10"/>
      <c r="AB82" s="10"/>
      <c r="AC82" s="10"/>
      <c r="AD82" s="10"/>
      <c r="AE82" s="10"/>
      <c r="AF82" s="10"/>
      <c r="AG82" s="10"/>
      <c r="AH82" s="10"/>
      <c r="AI82" s="10"/>
      <c r="AJ82" s="10"/>
      <c r="AK82" s="10"/>
      <c r="AL82" s="10"/>
      <c r="AM82" s="10"/>
      <c r="AN82" s="10"/>
      <c r="AO82" s="10"/>
      <c r="AP82" s="10"/>
      <c r="AQ82" s="10"/>
      <c r="AR82" s="10"/>
    </row>
    <row r="83" spans="1:44" ht="12" customHeight="1" x14ac:dyDescent="0.25">
      <c r="A83" s="10"/>
      <c r="B83" s="231" t="s">
        <v>140</v>
      </c>
      <c r="C83" s="49" t="s">
        <v>141</v>
      </c>
      <c r="D83" s="57" t="str">
        <f>'Situation initiale'!D105</f>
        <v>Sol sur caves 1</v>
      </c>
      <c r="E83" s="17"/>
      <c r="F83" s="156">
        <f t="shared" si="0"/>
        <v>0</v>
      </c>
      <c r="G83" s="212">
        <f>'Situation initiale'!E105</f>
        <v>0</v>
      </c>
      <c r="H83" s="213">
        <f>'Situation initiale'!F105</f>
        <v>0</v>
      </c>
      <c r="I83" s="10"/>
      <c r="J83" s="10"/>
      <c r="K83" s="10"/>
      <c r="L83" s="18">
        <f t="shared" si="7"/>
        <v>0</v>
      </c>
      <c r="M83" s="227">
        <f>+L84+L83</f>
        <v>0</v>
      </c>
      <c r="N83" s="229">
        <f>2/3</f>
        <v>0.66666666666666663</v>
      </c>
      <c r="O83" s="227">
        <f>+N83*M83</f>
        <v>0</v>
      </c>
      <c r="P83" s="32"/>
      <c r="Q83" s="10"/>
      <c r="R83" s="10"/>
      <c r="S83" s="18">
        <f>G83-'Situation initiale'!E105</f>
        <v>0</v>
      </c>
      <c r="T83" s="156" t="str">
        <f>IF(S83&lt;0,('Situation initiale'!J105*'Situation initiale'!M$105*duree_chauf*24/1000*(Temp_SI-Temp_ext))/(deperd_init+pertes_chau_init)*conso_init-('Situation rénovée'!L83*'Situation rénovée'!N$83*duree_chauf*24/1000*(Temp_SR-Temp_ext))/(deperd_reno+pertes_chau_reno)*conso_reno,"-")</f>
        <v>-</v>
      </c>
      <c r="U83" s="18" t="str">
        <f>IF(S83&lt;0,('Situation initiale'!J105*'Situation initiale'!M$105*duree_chauf*24/1000*(Temp_SI-Temp_ext))/(deperd_init+pertes_chau_init)*conso_init*cout_vect_init-('Situation rénovée'!L83*'Situation rénovée'!N$83*duree_chauf*24/1000*(Temp_SR-Temp_ext))/(deperd_reno+pertes_chau_reno)*conso_reno*cout_vect_reno,"-")</f>
        <v>-</v>
      </c>
      <c r="V83" s="18" t="str">
        <f t="shared" si="9"/>
        <v>-</v>
      </c>
      <c r="W83" s="10"/>
      <c r="X83" s="10"/>
      <c r="Y83" s="10"/>
      <c r="Z83" s="10"/>
      <c r="AA83" s="10"/>
      <c r="AB83" s="10"/>
      <c r="AC83" s="10"/>
      <c r="AD83" s="10"/>
      <c r="AE83" s="10"/>
      <c r="AF83" s="10"/>
      <c r="AG83" s="10"/>
      <c r="AH83" s="10"/>
      <c r="AI83" s="10"/>
      <c r="AJ83" s="10"/>
      <c r="AK83" s="10"/>
      <c r="AL83" s="10"/>
      <c r="AM83" s="10"/>
      <c r="AN83" s="10"/>
      <c r="AO83" s="10"/>
      <c r="AP83" s="10"/>
      <c r="AQ83" s="10"/>
      <c r="AR83" s="10"/>
    </row>
    <row r="84" spans="1:44" ht="12" customHeight="1" x14ac:dyDescent="0.25">
      <c r="A84" s="10"/>
      <c r="B84" s="232"/>
      <c r="C84" s="82"/>
      <c r="D84" s="57" t="str">
        <f>'Situation initiale'!D106</f>
        <v>Sol sur caves 2</v>
      </c>
      <c r="E84" s="17"/>
      <c r="F84" s="156">
        <f t="shared" si="0"/>
        <v>0</v>
      </c>
      <c r="G84" s="212">
        <f>'Situation initiale'!E106</f>
        <v>0</v>
      </c>
      <c r="H84" s="213">
        <f>'Situation initiale'!F106</f>
        <v>0</v>
      </c>
      <c r="I84" s="10"/>
      <c r="J84" s="10"/>
      <c r="K84" s="10"/>
      <c r="L84" s="18">
        <f t="shared" si="7"/>
        <v>0</v>
      </c>
      <c r="M84" s="228"/>
      <c r="N84" s="230"/>
      <c r="O84" s="228"/>
      <c r="P84" s="32"/>
      <c r="Q84" s="10"/>
      <c r="R84" s="10"/>
      <c r="S84" s="18">
        <f>G84-'Situation initiale'!E106</f>
        <v>0</v>
      </c>
      <c r="T84" s="156" t="str">
        <f>IF(S84&lt;0,('Situation initiale'!J106*'Situation initiale'!M$105*duree_chauf*24/1000*(Temp_SI-Temp_ext))/(deperd_init+pertes_chau_init)*conso_init-('Situation rénovée'!L84*'Situation rénovée'!N$83*duree_chauf*24/1000*(Temp_SR-Temp_ext))/(deperd_reno+pertes_chau_reno)*conso_reno,"-")</f>
        <v>-</v>
      </c>
      <c r="U84" s="18" t="str">
        <f>IF(S84&lt;0,('Situation initiale'!J106*'Situation initiale'!M$105*duree_chauf*24/1000*(Temp_SI-Temp_ext))/(deperd_init+pertes_chau_init)*conso_init*cout_vect_init-('Situation rénovée'!L84*'Situation rénovée'!N$83*duree_chauf*24/1000*(Temp_SR-Temp_ext))/(deperd_reno+pertes_chau_reno)*conso_reno*cout_vect_reno,"-")</f>
        <v>-</v>
      </c>
      <c r="V84" s="18" t="str">
        <f t="shared" si="9"/>
        <v>-</v>
      </c>
      <c r="W84" s="10"/>
      <c r="X84" s="10"/>
      <c r="Y84" s="10"/>
      <c r="Z84" s="10"/>
      <c r="AA84" s="10"/>
      <c r="AB84" s="10"/>
      <c r="AC84" s="10"/>
      <c r="AD84" s="10"/>
      <c r="AE84" s="10"/>
      <c r="AF84" s="10"/>
      <c r="AG84" s="10"/>
      <c r="AH84" s="10"/>
      <c r="AI84" s="10"/>
      <c r="AJ84" s="10"/>
      <c r="AK84" s="10"/>
      <c r="AL84" s="10"/>
      <c r="AM84" s="10"/>
      <c r="AN84" s="10"/>
      <c r="AO84" s="10"/>
      <c r="AP84" s="10"/>
      <c r="AQ84" s="10"/>
      <c r="AR84" s="10"/>
    </row>
    <row r="85" spans="1:44" ht="12" customHeight="1" x14ac:dyDescent="0.25">
      <c r="A85" s="10"/>
      <c r="B85" s="231" t="s">
        <v>144</v>
      </c>
      <c r="C85" s="49" t="s">
        <v>145</v>
      </c>
      <c r="D85" s="57" t="str">
        <f>'Situation initiale'!D107</f>
        <v>Sol terre 1</v>
      </c>
      <c r="E85" s="17"/>
      <c r="F85" s="156">
        <f t="shared" si="0"/>
        <v>0</v>
      </c>
      <c r="G85" s="212">
        <f>'Situation initiale'!E107</f>
        <v>0</v>
      </c>
      <c r="H85" s="213">
        <f>'Situation initiale'!F107</f>
        <v>0</v>
      </c>
      <c r="I85" s="10" t="s">
        <v>147</v>
      </c>
      <c r="J85" s="10"/>
      <c r="K85" s="10"/>
      <c r="L85" s="18">
        <f t="shared" si="7"/>
        <v>0</v>
      </c>
      <c r="M85" s="227">
        <f>+L86+L85</f>
        <v>0</v>
      </c>
      <c r="N85" s="229">
        <v>1</v>
      </c>
      <c r="O85" s="227">
        <f>+N85*M85</f>
        <v>0</v>
      </c>
      <c r="P85" s="32"/>
      <c r="Q85" s="10"/>
      <c r="R85" s="10"/>
      <c r="S85" s="18">
        <f>G85-'Situation initiale'!E107</f>
        <v>0</v>
      </c>
      <c r="T85" s="156" t="str">
        <f>IF(S85&lt;0,('Situation initiale'!J107*'Situation initiale'!M$107*duree_chauf*24/1000*(Temp_SI-Temp_ext))/(deperd_init+pertes_chau_init)*conso_init-('Situation rénovée'!L85*'Situation rénovée'!N$85*duree_chauf*24/1000*(Temp_SR-Temp_ext))/(deperd_reno+pertes_chau_reno)*conso_reno,"-")</f>
        <v>-</v>
      </c>
      <c r="U85" s="18" t="str">
        <f>IF(S85&lt;0,('Situation initiale'!J107*'Situation initiale'!M$107*duree_chauf*24/1000*(Temp_SI-Temp_ext))/(deperd_init+pertes_chau_init)*conso_init*cout_vect_init-('Situation rénovée'!L85*'Situation rénovée'!N$85*duree_chauf*24/1000*(Temp_SR-Temp_ext))/(deperd_reno+pertes_chau_reno)*conso_reno*cout_vect_reno,"-")</f>
        <v>-</v>
      </c>
      <c r="V85" s="18" t="str">
        <f t="shared" si="9"/>
        <v>-</v>
      </c>
      <c r="W85" s="10"/>
      <c r="X85" s="10"/>
      <c r="Y85" s="10"/>
      <c r="Z85" s="10"/>
      <c r="AA85" s="10"/>
      <c r="AB85" s="10"/>
      <c r="AC85" s="10"/>
      <c r="AD85" s="10"/>
      <c r="AE85" s="10"/>
      <c r="AF85" s="10"/>
      <c r="AG85" s="10"/>
      <c r="AH85" s="10"/>
      <c r="AI85" s="10"/>
      <c r="AJ85" s="10"/>
      <c r="AK85" s="10"/>
      <c r="AL85" s="10"/>
      <c r="AM85" s="10"/>
      <c r="AN85" s="10"/>
      <c r="AO85" s="10"/>
      <c r="AP85" s="10"/>
      <c r="AQ85" s="10"/>
      <c r="AR85" s="10"/>
    </row>
    <row r="86" spans="1:44" ht="11.25" customHeight="1" x14ac:dyDescent="0.25">
      <c r="A86" s="10"/>
      <c r="B86" s="232"/>
      <c r="C86" s="82"/>
      <c r="D86" s="57" t="str">
        <f>'Situation initiale'!D108</f>
        <v>Sol terre 2</v>
      </c>
      <c r="E86" s="17"/>
      <c r="F86" s="156">
        <f t="shared" si="0"/>
        <v>0</v>
      </c>
      <c r="G86" s="212">
        <f>'Situation initiale'!E108</f>
        <v>0</v>
      </c>
      <c r="H86" s="213">
        <f>'Situation initiale'!F108</f>
        <v>0</v>
      </c>
      <c r="I86" s="179" t="s">
        <v>149</v>
      </c>
      <c r="J86" s="10"/>
      <c r="K86" s="10"/>
      <c r="L86" s="18">
        <f t="shared" si="7"/>
        <v>0</v>
      </c>
      <c r="M86" s="228"/>
      <c r="N86" s="230"/>
      <c r="O86" s="228"/>
      <c r="P86" s="32"/>
      <c r="Q86" s="10"/>
      <c r="R86" s="10"/>
      <c r="S86" s="18">
        <f>G86-'Situation initiale'!E108</f>
        <v>0</v>
      </c>
      <c r="T86" s="156" t="str">
        <f>IF(S86&lt;0,('Situation initiale'!J108*'Situation initiale'!M$107*duree_chauf*24/1000*(Temp_SI-Temp_ext))/(deperd_init+pertes_chau_init)*conso_init-('Situation rénovée'!L86*'Situation rénovée'!N$85*duree_chauf*24/1000*(Temp_SR-Temp_ext))/(deperd_reno+pertes_chau_reno)*conso_reno,"-")</f>
        <v>-</v>
      </c>
      <c r="U86" s="18" t="str">
        <f>IF(S86&lt;0,('Situation initiale'!J108*'Situation initiale'!M$107*duree_chauf*24/1000*(Temp_SI-Temp_ext))/(deperd_init+pertes_chau_init)*conso_init*cout_vect_init-('Situation rénovée'!L86*'Situation rénovée'!N$85*duree_chauf*24/1000*(Temp_SR-Temp_ext))/(deperd_reno+pertes_chau_reno)*conso_reno*cout_vect_reno,"-")</f>
        <v>-</v>
      </c>
      <c r="V86" s="18" t="str">
        <f t="shared" si="9"/>
        <v>-</v>
      </c>
      <c r="W86" s="10"/>
      <c r="X86" s="10"/>
      <c r="Y86" s="10"/>
      <c r="Z86" s="10"/>
      <c r="AA86" s="10"/>
      <c r="AB86" s="10"/>
      <c r="AC86" s="10"/>
      <c r="AD86" s="10"/>
      <c r="AE86" s="10"/>
      <c r="AF86" s="10"/>
      <c r="AG86" s="10"/>
      <c r="AH86" s="10"/>
      <c r="AI86" s="10"/>
      <c r="AJ86" s="10"/>
      <c r="AK86" s="10"/>
      <c r="AL86" s="10"/>
      <c r="AM86" s="10"/>
      <c r="AN86" s="10"/>
      <c r="AO86" s="10"/>
      <c r="AP86" s="10"/>
      <c r="AQ86" s="10"/>
      <c r="AR86" s="10"/>
    </row>
    <row r="87" spans="1:44" ht="12" customHeight="1" x14ac:dyDescent="0.25">
      <c r="A87" s="10"/>
      <c r="B87" s="231" t="s">
        <v>150</v>
      </c>
      <c r="C87" s="49" t="s">
        <v>151</v>
      </c>
      <c r="D87" s="57" t="str">
        <f>'Situation initiale'!D109</f>
        <v>Mur terre 1</v>
      </c>
      <c r="E87" s="17"/>
      <c r="F87" s="156">
        <f t="shared" si="0"/>
        <v>0</v>
      </c>
      <c r="G87" s="212">
        <f>'Situation initiale'!E109</f>
        <v>0</v>
      </c>
      <c r="H87" s="213">
        <f>'Situation initiale'!F109</f>
        <v>0</v>
      </c>
      <c r="I87" s="10"/>
      <c r="J87" s="10"/>
      <c r="K87" s="10"/>
      <c r="L87" s="18">
        <f t="shared" si="7"/>
        <v>0</v>
      </c>
      <c r="M87" s="227">
        <f>+L88+L87</f>
        <v>0</v>
      </c>
      <c r="N87" s="229">
        <f>2/3</f>
        <v>0.66666666666666663</v>
      </c>
      <c r="O87" s="227">
        <f>+N87*M87</f>
        <v>0</v>
      </c>
      <c r="P87" s="32"/>
      <c r="Q87" s="10"/>
      <c r="R87" s="10"/>
      <c r="S87" s="18">
        <f>G87-'Situation initiale'!E109</f>
        <v>0</v>
      </c>
      <c r="T87" s="156" t="str">
        <f>IF(S87&lt;0,('Situation initiale'!J109*'Situation initiale'!M$109*duree_chauf*24/1000*(Temp_SI-Temp_ext))/(deperd_init+pertes_chau_init)*conso_init-('Situation rénovée'!L87*'Situation rénovée'!N$100*duree_chauf*24/1000*(Temp_SR-Temp_ext))/(deperd_reno+pertes_chau_reno)*conso_reno,"-")</f>
        <v>-</v>
      </c>
      <c r="U87" s="18" t="str">
        <f>IF(S87&lt;0,('Situation initiale'!J109*'Situation initiale'!M$109*duree_chauf*24/1000*(Temp_SI-Temp_ext))/(deperd_init+pertes_chau_init)*conso_init*cout_vect_init-('Situation rénovée'!L87*'Situation rénovée'!N$87*duree_chauf*24/1000*(Temp_SR-Temp_ext))/(deperd_reno+pertes_chau_reno)*conso_reno*cout_vect_reno,"-")</f>
        <v>-</v>
      </c>
      <c r="V87" s="18" t="str">
        <f t="shared" si="9"/>
        <v>-</v>
      </c>
      <c r="W87" s="10"/>
      <c r="X87" s="10"/>
      <c r="Y87" s="10"/>
      <c r="Z87" s="10"/>
      <c r="AA87" s="10"/>
      <c r="AB87" s="10"/>
      <c r="AC87" s="10"/>
      <c r="AD87" s="10"/>
      <c r="AE87" s="10"/>
      <c r="AF87" s="10"/>
      <c r="AG87" s="10"/>
      <c r="AH87" s="10"/>
      <c r="AI87" s="10"/>
      <c r="AJ87" s="10"/>
      <c r="AK87" s="10"/>
      <c r="AL87" s="10"/>
      <c r="AM87" s="10"/>
      <c r="AN87" s="10"/>
      <c r="AO87" s="10"/>
      <c r="AP87" s="10"/>
      <c r="AQ87" s="10"/>
      <c r="AR87" s="10"/>
    </row>
    <row r="88" spans="1:44" ht="12" customHeight="1" x14ac:dyDescent="0.25">
      <c r="A88" s="10"/>
      <c r="B88" s="232"/>
      <c r="C88" s="82"/>
      <c r="D88" s="57" t="str">
        <f>'Situation initiale'!D110</f>
        <v>Mur terre 2</v>
      </c>
      <c r="E88" s="17"/>
      <c r="F88" s="156">
        <f t="shared" si="0"/>
        <v>0</v>
      </c>
      <c r="G88" s="212">
        <f>'Situation initiale'!E110</f>
        <v>0</v>
      </c>
      <c r="H88" s="213">
        <f>'Situation initiale'!F110</f>
        <v>0</v>
      </c>
      <c r="I88" s="10"/>
      <c r="J88" s="10"/>
      <c r="K88" s="10"/>
      <c r="L88" s="18">
        <f t="shared" si="7"/>
        <v>0</v>
      </c>
      <c r="M88" s="228"/>
      <c r="N88" s="230"/>
      <c r="O88" s="228"/>
      <c r="P88" s="32"/>
      <c r="Q88" s="10"/>
      <c r="R88" s="10"/>
      <c r="S88" s="18">
        <f>G88-'Situation initiale'!E110</f>
        <v>0</v>
      </c>
      <c r="T88" s="156" t="str">
        <f>IF(S88&lt;0,('Situation initiale'!J110*'Situation initiale'!M$109*duree_chauf*24/1000*(Temp_SI-Temp_ext))/(deperd_init+pertes_chau_init)*conso_init-('Situation rénovée'!L88*'Situation rénovée'!N$100*duree_chauf*24/1000*(Temp_SR-Temp_ext))/(deperd_reno+pertes_chau_reno)*conso_reno,"-")</f>
        <v>-</v>
      </c>
      <c r="U88" s="18" t="str">
        <f>IF(S88&lt;0,('Situation initiale'!J110*'Situation initiale'!M$109*duree_chauf*24/1000*(Temp_SI-Temp_ext))/(deperd_init+pertes_chau_init)*conso_init*cout_vect_init-('Situation rénovée'!L88*'Situation rénovée'!N$87*duree_chauf*24/1000*(Temp_SR-Temp_ext))/(deperd_reno+pertes_chau_reno)*conso_reno*cout_vect_reno,"-")</f>
        <v>-</v>
      </c>
      <c r="V88" s="18" t="str">
        <f t="shared" si="9"/>
        <v>-</v>
      </c>
      <c r="W88" s="10"/>
      <c r="X88" s="10"/>
      <c r="Y88" s="10"/>
      <c r="Z88" s="10"/>
      <c r="AA88" s="10"/>
      <c r="AB88" s="10"/>
      <c r="AC88" s="10"/>
      <c r="AD88" s="10"/>
      <c r="AE88" s="10"/>
      <c r="AF88" s="10"/>
      <c r="AG88" s="10"/>
      <c r="AH88" s="10"/>
      <c r="AI88" s="10"/>
      <c r="AJ88" s="10"/>
      <c r="AK88" s="10"/>
      <c r="AL88" s="10"/>
      <c r="AM88" s="10"/>
      <c r="AN88" s="10"/>
      <c r="AO88" s="10"/>
      <c r="AP88" s="10"/>
      <c r="AQ88" s="10"/>
      <c r="AR88" s="10"/>
    </row>
    <row r="89" spans="1:44" ht="12" customHeight="1" x14ac:dyDescent="0.25">
      <c r="A89" s="10"/>
      <c r="B89" s="231" t="s">
        <v>154</v>
      </c>
      <c r="C89" s="49" t="s">
        <v>155</v>
      </c>
      <c r="D89" s="57" t="str">
        <f>'Situation initiale'!D111</f>
        <v>Mur EANC 1</v>
      </c>
      <c r="E89" s="17"/>
      <c r="F89" s="156">
        <f t="shared" si="0"/>
        <v>0</v>
      </c>
      <c r="G89" s="212">
        <f>'Situation initiale'!E111</f>
        <v>0</v>
      </c>
      <c r="H89" s="213">
        <f>'Situation initiale'!F111</f>
        <v>0</v>
      </c>
      <c r="I89" s="10"/>
      <c r="J89" s="10"/>
      <c r="K89" s="10"/>
      <c r="L89" s="18">
        <f t="shared" si="7"/>
        <v>0</v>
      </c>
      <c r="M89" s="227">
        <f>+L90+L89</f>
        <v>0</v>
      </c>
      <c r="N89" s="233">
        <v>1</v>
      </c>
      <c r="O89" s="227">
        <f>+N89*M89</f>
        <v>0</v>
      </c>
      <c r="P89" s="32"/>
      <c r="Q89" s="10"/>
      <c r="R89" s="10"/>
      <c r="S89" s="18">
        <f>G89-'Situation initiale'!E111</f>
        <v>0</v>
      </c>
      <c r="T89" s="156" t="str">
        <f>IF(S89&lt;0,('Situation initiale'!J111*'Situation initiale'!M$111*duree_chauf*24/1000*(Temp_SI-Temp_ext))/(deperd_init+pertes_chau_init)*conso_init-('Situation rénovée'!L89*'Situation rénovée'!N$89*duree_chauf*24/1000*(Temp_SR-Temp_ext))/(deperd_reno+pertes_chau_reno)*conso_reno,"-")</f>
        <v>-</v>
      </c>
      <c r="U89" s="18" t="str">
        <f>IF(S89&lt;0,('Situation initiale'!J111*'Situation initiale'!M$111*duree_chauf*24/1000*(Temp_SI-Temp_ext))/(deperd_init+pertes_chau_init)*conso_init*cout_vect_init-('Situation rénovée'!L89*'Situation rénovée'!N$89*duree_chauf*24/1000*(Temp_SR-Temp_ext))/(deperd_reno+pertes_chau_reno)*conso_reno*cout_vect_reno,"-")</f>
        <v>-</v>
      </c>
      <c r="V89" s="18" t="str">
        <f t="shared" si="9"/>
        <v>-</v>
      </c>
      <c r="W89" s="10"/>
      <c r="X89" s="10"/>
      <c r="Y89" s="10"/>
      <c r="Z89" s="10"/>
      <c r="AA89" s="10"/>
      <c r="AB89" s="10"/>
      <c r="AC89" s="10"/>
      <c r="AD89" s="10"/>
      <c r="AE89" s="10"/>
      <c r="AF89" s="10"/>
      <c r="AG89" s="10"/>
      <c r="AH89" s="10"/>
      <c r="AI89" s="10"/>
      <c r="AJ89" s="10"/>
      <c r="AK89" s="10"/>
      <c r="AL89" s="10"/>
      <c r="AM89" s="10"/>
      <c r="AN89" s="10"/>
      <c r="AO89" s="10"/>
      <c r="AP89" s="10"/>
      <c r="AQ89" s="10"/>
      <c r="AR89" s="10"/>
    </row>
    <row r="90" spans="1:44" ht="12" customHeight="1" x14ac:dyDescent="0.25">
      <c r="A90" s="10"/>
      <c r="B90" s="232"/>
      <c r="C90" s="82"/>
      <c r="D90" s="57" t="str">
        <f>'Situation initiale'!D112</f>
        <v>Mur EANC 2</v>
      </c>
      <c r="E90" s="17"/>
      <c r="F90" s="156">
        <f t="shared" si="0"/>
        <v>0</v>
      </c>
      <c r="G90" s="212">
        <f>'Situation initiale'!E112</f>
        <v>0</v>
      </c>
      <c r="H90" s="213">
        <f>'Situation initiale'!F112</f>
        <v>0</v>
      </c>
      <c r="I90" s="10"/>
      <c r="J90" s="10"/>
      <c r="K90" s="10"/>
      <c r="L90" s="18">
        <f t="shared" si="7"/>
        <v>0</v>
      </c>
      <c r="M90" s="228"/>
      <c r="N90" s="234"/>
      <c r="O90" s="228"/>
      <c r="P90" s="32"/>
      <c r="Q90" s="10"/>
      <c r="R90" s="10"/>
      <c r="S90" s="18">
        <f>G90-'Situation initiale'!E112</f>
        <v>0</v>
      </c>
      <c r="T90" s="156" t="str">
        <f>IF(S90&lt;0,('Situation initiale'!J112*'Situation initiale'!M$111*duree_chauf*24/1000*(Temp_SI-Temp_ext))/(deperd_init+pertes_chau_init)*conso_init-('Situation rénovée'!L90*'Situation rénovée'!N$89*duree_chauf*24/1000*(Temp_SR-Temp_ext))/(deperd_reno+pertes_chau_reno)*conso_reno,"-")</f>
        <v>-</v>
      </c>
      <c r="U90" s="18" t="str">
        <f>IF(S90&lt;0,('Situation initiale'!J112*'Situation initiale'!M$111*duree_chauf*24/1000*(Temp_SI-Temp_ext))/(deperd_init+pertes_chau_init)*conso_init*cout_vect_init-('Situation rénovée'!L90*'Situation rénovée'!N$89*duree_chauf*24/1000*(Temp_SR-Temp_ext))/(deperd_reno+pertes_chau_reno)*conso_reno*cout_vect_reno,"-")</f>
        <v>-</v>
      </c>
      <c r="V90" s="18" t="str">
        <f t="shared" si="9"/>
        <v>-</v>
      </c>
      <c r="W90" s="10"/>
      <c r="X90" s="10"/>
      <c r="Y90" s="10"/>
      <c r="Z90" s="10"/>
      <c r="AA90" s="10"/>
      <c r="AB90" s="10"/>
      <c r="AC90" s="10"/>
      <c r="AD90" s="10"/>
      <c r="AE90" s="10"/>
      <c r="AF90" s="10"/>
      <c r="AG90" s="10"/>
      <c r="AH90" s="10"/>
      <c r="AI90" s="10"/>
      <c r="AJ90" s="10"/>
      <c r="AK90" s="10"/>
      <c r="AL90" s="10"/>
      <c r="AM90" s="10"/>
      <c r="AN90" s="10"/>
      <c r="AO90" s="10"/>
      <c r="AP90" s="10"/>
      <c r="AQ90" s="10"/>
      <c r="AR90" s="10"/>
    </row>
    <row r="91" spans="1:44" ht="18.75" customHeight="1" x14ac:dyDescent="0.25">
      <c r="A91" s="10"/>
      <c r="B91" s="86"/>
      <c r="C91" s="86" t="s">
        <v>158</v>
      </c>
      <c r="D91" s="14"/>
      <c r="E91" s="18" t="e">
        <f>F91/H91</f>
        <v>#DIV/0!</v>
      </c>
      <c r="F91" s="156">
        <f>SUBTOTAL(9,F59:F90)</f>
        <v>0</v>
      </c>
      <c r="G91" s="113" t="e">
        <f>O91/H91</f>
        <v>#DIV/0!</v>
      </c>
      <c r="H91" s="156">
        <f>SUBTOTAL(9,H59:H90)</f>
        <v>0</v>
      </c>
      <c r="I91" s="10"/>
      <c r="J91" s="10"/>
      <c r="K91" s="10"/>
      <c r="L91" s="18">
        <f>SUM(L59:L90)</f>
        <v>0</v>
      </c>
      <c r="M91" s="18">
        <f>SUM(M59:M90)</f>
        <v>0</v>
      </c>
      <c r="N91" s="57"/>
      <c r="O91" s="18">
        <f>SUM(O59:O90)</f>
        <v>0</v>
      </c>
      <c r="P91" s="57"/>
      <c r="Q91" s="18">
        <f>SUM(Q59:Q90)</f>
        <v>0</v>
      </c>
      <c r="R91" s="18">
        <f>SUM(R59:R90)</f>
        <v>0</v>
      </c>
      <c r="S91" s="18">
        <f>SUBTOTAL(9,S59:S90)</f>
        <v>0</v>
      </c>
      <c r="T91" s="156">
        <f>SUBTOTAL(9,T59:T90)</f>
        <v>0</v>
      </c>
      <c r="U91" s="18">
        <f>SUBTOTAL(9,U59:U90)</f>
        <v>0</v>
      </c>
      <c r="V91" s="18" t="str">
        <f t="shared" si="9"/>
        <v>-</v>
      </c>
      <c r="W91" s="10"/>
      <c r="X91" s="10"/>
      <c r="Y91" s="10"/>
      <c r="Z91" s="10"/>
      <c r="AA91" s="10"/>
      <c r="AB91" s="10"/>
      <c r="AC91" s="10"/>
      <c r="AD91" s="10"/>
      <c r="AE91" s="10"/>
      <c r="AF91" s="10"/>
      <c r="AG91" s="10"/>
      <c r="AH91" s="10"/>
      <c r="AI91" s="10"/>
      <c r="AJ91" s="10"/>
      <c r="AK91" s="10"/>
      <c r="AL91" s="10"/>
      <c r="AM91" s="10"/>
      <c r="AN91" s="10"/>
      <c r="AO91" s="10"/>
      <c r="AP91" s="10"/>
    </row>
    <row r="92" spans="1:44" ht="18.75" customHeight="1" x14ac:dyDescent="0.25">
      <c r="A92" s="10"/>
      <c r="B92" s="86" t="s">
        <v>159</v>
      </c>
      <c r="C92" s="86" t="s">
        <v>338</v>
      </c>
      <c r="D92" s="14"/>
      <c r="E92" s="18" t="e">
        <f>F92/H92</f>
        <v>#DIV/0!</v>
      </c>
      <c r="F92" s="156">
        <f>SUBTOTAL(9,F15:F90)</f>
        <v>0</v>
      </c>
      <c r="G92" s="113" t="e">
        <f>O92/H92</f>
        <v>#DIV/0!</v>
      </c>
      <c r="H92" s="156">
        <f>SUBTOTAL(9,H15:H90)</f>
        <v>0</v>
      </c>
      <c r="I92" s="10"/>
      <c r="J92" s="10"/>
      <c r="K92" s="10"/>
      <c r="L92" s="10"/>
      <c r="M92" s="10"/>
      <c r="N92" s="15" t="s">
        <v>162</v>
      </c>
      <c r="O92" s="18">
        <f>O58+O91</f>
        <v>0</v>
      </c>
      <c r="P92" s="32"/>
      <c r="Q92" s="10"/>
      <c r="R92" s="10"/>
      <c r="S92" s="32"/>
      <c r="T92" s="156">
        <f>SUBTOTAL(9,T15:T90)</f>
        <v>0</v>
      </c>
      <c r="U92" s="18">
        <f>SUBTOTAL(9,U15:U90)</f>
        <v>0</v>
      </c>
      <c r="V92" s="18" t="e">
        <f>F92/U92</f>
        <v>#DIV/0!</v>
      </c>
      <c r="W92" s="10"/>
      <c r="X92" s="10"/>
      <c r="Y92" s="10"/>
      <c r="Z92" s="10"/>
      <c r="AA92" s="10"/>
      <c r="AB92" s="10"/>
      <c r="AC92" s="10"/>
      <c r="AD92" s="10"/>
      <c r="AE92" s="10"/>
      <c r="AF92" s="10"/>
      <c r="AG92" s="10"/>
      <c r="AH92" s="10"/>
      <c r="AI92" s="10"/>
      <c r="AJ92" s="10"/>
      <c r="AK92" s="10"/>
      <c r="AL92" s="10"/>
      <c r="AM92" s="10"/>
      <c r="AN92" s="10"/>
      <c r="AO92" s="10"/>
      <c r="AP92" s="10"/>
      <c r="AQ92" s="10"/>
      <c r="AR92" s="10"/>
    </row>
    <row r="93" spans="1:44" x14ac:dyDescent="0.25">
      <c r="A93" s="10"/>
      <c r="B93" s="26"/>
      <c r="C93" s="32"/>
      <c r="D93" s="26"/>
      <c r="E93" s="26"/>
      <c r="F93" s="26"/>
      <c r="G93" s="26"/>
      <c r="H93" s="10"/>
      <c r="I93" s="32"/>
      <c r="J93" s="32"/>
      <c r="K93" s="32"/>
      <c r="L93" s="32"/>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row>
    <row r="94" spans="1:44" s="11" customFormat="1" ht="13" x14ac:dyDescent="0.25">
      <c r="A94" s="10"/>
      <c r="B94" s="10"/>
      <c r="C94" s="109" t="s">
        <v>339</v>
      </c>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row>
    <row r="95" spans="1:44" s="11" customFormat="1" x14ac:dyDescent="0.25">
      <c r="A95" s="10"/>
      <c r="B95" s="10"/>
      <c r="C95" s="101" t="s">
        <v>340</v>
      </c>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c r="AR95" s="10"/>
    </row>
    <row r="96" spans="1:44" s="11" customFormat="1" ht="40.9" customHeight="1" x14ac:dyDescent="0.25">
      <c r="A96" s="10"/>
      <c r="B96" s="10"/>
      <c r="C96" s="250" t="s">
        <v>341</v>
      </c>
      <c r="D96" s="250"/>
      <c r="E96" s="250"/>
      <c r="F96" s="250"/>
      <c r="G96" s="250"/>
      <c r="H96" s="250"/>
      <c r="I96" s="250"/>
      <c r="J96" s="250"/>
      <c r="K96" s="25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c r="AR96" s="10"/>
    </row>
    <row r="97" spans="1:44" s="11" customFormat="1" x14ac:dyDescent="0.25">
      <c r="A97" s="10"/>
      <c r="B97" s="10"/>
      <c r="C97" s="10" t="s">
        <v>342</v>
      </c>
      <c r="D97" s="16" t="s">
        <v>343</v>
      </c>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c r="AR97" s="10"/>
    </row>
    <row r="98" spans="1:44" s="11" customFormat="1" x14ac:dyDescent="0.25">
      <c r="A98" s="10"/>
      <c r="B98" s="10"/>
      <c r="C98" s="10" t="s">
        <v>344</v>
      </c>
      <c r="D98" s="16" t="s">
        <v>343</v>
      </c>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c r="AR98" s="10"/>
    </row>
    <row r="99" spans="1:44" s="11" customFormat="1" x14ac:dyDescent="0.25">
      <c r="A99" s="10"/>
      <c r="B99" s="10"/>
      <c r="C99" s="10" t="s">
        <v>345</v>
      </c>
      <c r="D99" s="16" t="s">
        <v>343</v>
      </c>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row>
    <row r="100" spans="1:44" s="11" customFormat="1" x14ac:dyDescent="0.25">
      <c r="A100" s="10"/>
      <c r="B100" s="10"/>
      <c r="C100" s="10" t="s">
        <v>346</v>
      </c>
      <c r="D100" s="16" t="s">
        <v>347</v>
      </c>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row>
    <row r="101" spans="1:44" s="11" customFormat="1" x14ac:dyDescent="0.25">
      <c r="A101" s="10"/>
      <c r="B101" s="10"/>
      <c r="C101" s="10" t="s">
        <v>348</v>
      </c>
      <c r="D101" s="16" t="s">
        <v>347</v>
      </c>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row>
    <row r="102" spans="1:44" s="11" customFormat="1" x14ac:dyDescent="0.25">
      <c r="A102" s="10"/>
      <c r="B102" s="10"/>
      <c r="C102" s="10" t="s">
        <v>349</v>
      </c>
      <c r="D102" s="130">
        <f>FORECAST(Données!B102,Données!B106:B107,Données!A106:A107)</f>
        <v>4</v>
      </c>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row>
    <row r="103" spans="1:44" s="11" customFormat="1" x14ac:dyDescent="0.2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row>
    <row r="104" spans="1:44" x14ac:dyDescent="0.25">
      <c r="A104" s="10"/>
      <c r="B104" s="26"/>
      <c r="C104" s="10" t="s">
        <v>163</v>
      </c>
      <c r="D104" s="158">
        <f>'Situation initiale'!D116</f>
        <v>0</v>
      </c>
      <c r="E104" s="126" t="s">
        <v>164</v>
      </c>
      <c r="F104" s="32"/>
      <c r="G104" s="32"/>
      <c r="H104" s="32"/>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row>
    <row r="105" spans="1:44" x14ac:dyDescent="0.25">
      <c r="A105" s="10"/>
      <c r="B105" s="26"/>
      <c r="C105" s="10" t="s">
        <v>165</v>
      </c>
      <c r="D105" s="113">
        <f>+IF(H92=0,0,O92/H92)</f>
        <v>0</v>
      </c>
      <c r="E105" s="112" t="s">
        <v>166</v>
      </c>
      <c r="F105" s="32"/>
      <c r="G105" s="32"/>
      <c r="H105" s="32"/>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row>
    <row r="106" spans="1:44" x14ac:dyDescent="0.25">
      <c r="A106" s="10"/>
      <c r="B106" s="26"/>
      <c r="C106" s="10" t="s">
        <v>167</v>
      </c>
      <c r="D106" s="18">
        <f>+IF(H92=0,0,D104/H92)</f>
        <v>0</v>
      </c>
      <c r="E106" s="127" t="s">
        <v>168</v>
      </c>
      <c r="F106" s="32"/>
      <c r="G106" s="32"/>
      <c r="H106" s="32"/>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row>
    <row r="107" spans="1:44" x14ac:dyDescent="0.25">
      <c r="A107" s="10"/>
      <c r="B107" s="26"/>
      <c r="C107" s="32" t="s">
        <v>169</v>
      </c>
      <c r="D107" s="18">
        <f>+IF(D106&lt;1.0001,D105*100,IF(AND(D106&gt;1,D106&lt;4),D105*300/(D106+2),IF(D106&gt;3.99999,D105*50,"ERREUR")))</f>
        <v>0</v>
      </c>
      <c r="E107" s="26"/>
      <c r="F107" s="32"/>
      <c r="G107" s="32"/>
      <c r="H107" s="32"/>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row>
    <row r="108" spans="1:44" x14ac:dyDescent="0.25">
      <c r="A108" s="10"/>
      <c r="B108" s="26"/>
      <c r="C108" s="32" t="s">
        <v>173</v>
      </c>
      <c r="D108" s="18">
        <f>D107+D102</f>
        <v>4</v>
      </c>
      <c r="E108" s="26"/>
      <c r="F108" s="32"/>
      <c r="G108" s="32"/>
      <c r="H108" s="32"/>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row>
    <row r="109" spans="1:44" x14ac:dyDescent="0.25">
      <c r="A109" s="10"/>
      <c r="B109" s="26"/>
      <c r="C109" s="32" t="s">
        <v>174</v>
      </c>
      <c r="D109" s="18">
        <f>+IF(D106&lt;1.0001,D108/100,IF(AND(D106&gt;1,D106&lt;4),D108/300*(D106+2),IF(D106&gt;3.99999,D108/50,"ERREUR")))</f>
        <v>0.04</v>
      </c>
      <c r="E109" s="112" t="s">
        <v>166</v>
      </c>
      <c r="F109" s="32"/>
      <c r="G109" s="32"/>
      <c r="H109" s="32"/>
      <c r="I109" s="10"/>
      <c r="J109" s="10"/>
      <c r="K109" s="10"/>
      <c r="L109" s="10"/>
      <c r="M109" s="10"/>
      <c r="N109" s="10"/>
      <c r="O109" s="10"/>
      <c r="P109" s="10"/>
      <c r="Q109" s="10"/>
      <c r="R109" s="10"/>
      <c r="S109" s="10"/>
      <c r="T109" s="210"/>
      <c r="U109" s="10"/>
      <c r="V109" s="10"/>
      <c r="W109" s="10"/>
      <c r="X109" s="10"/>
      <c r="Y109" s="10"/>
      <c r="Z109" s="10"/>
      <c r="AA109" s="10"/>
      <c r="AB109" s="10"/>
      <c r="AC109" s="10"/>
      <c r="AD109" s="10"/>
      <c r="AE109" s="10"/>
      <c r="AF109" s="10"/>
      <c r="AG109" s="10"/>
      <c r="AH109" s="10"/>
      <c r="AI109" s="10"/>
      <c r="AJ109" s="10"/>
    </row>
    <row r="110" spans="1:44" x14ac:dyDescent="0.25">
      <c r="A110" s="10"/>
      <c r="B110" s="26"/>
      <c r="C110" s="32" t="s">
        <v>175</v>
      </c>
      <c r="D110" s="156">
        <f>D109*H92</f>
        <v>0</v>
      </c>
      <c r="E110" s="112" t="s">
        <v>176</v>
      </c>
      <c r="F110" s="32"/>
      <c r="G110" s="32"/>
      <c r="H110" s="32"/>
      <c r="I110" s="10"/>
      <c r="J110" s="10"/>
      <c r="K110" s="10"/>
      <c r="L110" s="10"/>
      <c r="M110" s="10"/>
      <c r="N110" s="10"/>
      <c r="O110" s="10"/>
      <c r="P110" s="10"/>
      <c r="Q110" s="10"/>
      <c r="R110" s="10"/>
      <c r="S110" s="10"/>
      <c r="T110" s="10" t="s">
        <v>300</v>
      </c>
      <c r="U110" s="10"/>
      <c r="V110" s="10"/>
      <c r="W110" s="10"/>
      <c r="X110" s="10"/>
      <c r="Y110" s="10"/>
      <c r="Z110" s="10"/>
      <c r="AA110" s="10"/>
      <c r="AB110" s="10"/>
      <c r="AC110" s="10"/>
      <c r="AD110" s="10"/>
      <c r="AE110" s="10"/>
      <c r="AF110" s="10"/>
      <c r="AG110" s="10"/>
      <c r="AH110" s="10"/>
      <c r="AI110" s="10"/>
      <c r="AJ110" s="10"/>
    </row>
    <row r="111" spans="1:44" ht="13.15" customHeight="1" x14ac:dyDescent="0.25">
      <c r="A111" s="10"/>
      <c r="B111" s="32"/>
      <c r="C111" s="32" t="s">
        <v>177</v>
      </c>
      <c r="D111" s="156" t="e">
        <f>D110*(Temp_SR-Temp_ext)*duree_chauf*24/1000</f>
        <v>#DIV/0!</v>
      </c>
      <c r="E111" s="112" t="s">
        <v>178</v>
      </c>
      <c r="F111" s="32"/>
      <c r="G111" s="32"/>
      <c r="H111" s="32"/>
      <c r="I111" s="10"/>
      <c r="J111" s="10"/>
      <c r="K111" s="10"/>
      <c r="L111" s="10"/>
      <c r="M111" s="10"/>
      <c r="N111" s="10"/>
      <c r="O111" s="10"/>
      <c r="P111" s="10"/>
      <c r="Q111" s="10"/>
      <c r="R111" s="10"/>
      <c r="S111" s="10"/>
      <c r="T111" s="35" t="s">
        <v>335</v>
      </c>
      <c r="U111" s="35" t="s">
        <v>336</v>
      </c>
      <c r="V111" s="35" t="s">
        <v>337</v>
      </c>
      <c r="W111" s="10"/>
      <c r="X111" s="10"/>
      <c r="Y111" s="10"/>
      <c r="Z111" s="10"/>
      <c r="AA111" s="10"/>
      <c r="AB111" s="10"/>
      <c r="AC111" s="10"/>
      <c r="AD111" s="10"/>
      <c r="AE111" s="10"/>
      <c r="AF111" s="10"/>
      <c r="AG111" s="10"/>
      <c r="AH111" s="10"/>
      <c r="AI111" s="10"/>
      <c r="AJ111" s="10"/>
    </row>
    <row r="112" spans="1:44" ht="13.15" customHeight="1" x14ac:dyDescent="0.25">
      <c r="A112" s="10"/>
      <c r="B112" s="32"/>
      <c r="C112" s="32" t="s">
        <v>179</v>
      </c>
      <c r="D112" s="156" t="e">
        <f>(D110-O92)*(Temp_SR-Temp_ext)*duree_chauf*24/1000</f>
        <v>#DIV/0!</v>
      </c>
      <c r="E112" s="112" t="s">
        <v>178</v>
      </c>
      <c r="F112" s="32"/>
      <c r="G112" s="32"/>
      <c r="H112" s="32"/>
      <c r="I112" s="10"/>
      <c r="J112" s="10"/>
      <c r="K112" s="10"/>
      <c r="L112" s="10"/>
      <c r="M112" s="10"/>
      <c r="N112" s="10"/>
      <c r="O112" s="10"/>
      <c r="P112" s="10"/>
      <c r="Q112" s="10"/>
      <c r="R112" s="10"/>
      <c r="S112" s="10"/>
      <c r="T112" s="155" t="e">
        <f>IF(D112&lt;&gt;'Situation initiale'!D126,'Situation initiale'!D126/(deperd_init+pertes_chau_init)*conso_init-D112/(deperd_reno+pertes_chau_reno)*conso_reno,0)</f>
        <v>#DIV/0!</v>
      </c>
      <c r="U112" s="18" t="e">
        <f>T112*cout_vect</f>
        <v>#DIV/0!</v>
      </c>
      <c r="V112" s="18"/>
      <c r="W112" s="10"/>
      <c r="X112" s="10"/>
      <c r="Y112" s="10"/>
      <c r="Z112" s="10"/>
      <c r="AA112" s="10"/>
      <c r="AB112" s="10"/>
      <c r="AC112" s="10"/>
      <c r="AD112" s="10"/>
      <c r="AE112" s="10"/>
      <c r="AF112" s="10"/>
      <c r="AG112" s="10"/>
      <c r="AH112" s="10"/>
      <c r="AI112" s="10"/>
      <c r="AJ112" s="10"/>
    </row>
    <row r="113" spans="1:44" s="11" customFormat="1" x14ac:dyDescent="0.25">
      <c r="A113" s="10"/>
      <c r="B113" s="101"/>
      <c r="C113" s="143"/>
      <c r="D113" s="26"/>
      <c r="E113" s="26"/>
      <c r="F113" s="144"/>
      <c r="G113" s="144"/>
      <c r="H113" s="10"/>
      <c r="I113" s="97"/>
      <c r="J113" s="26"/>
      <c r="K113" s="10"/>
      <c r="L113" s="10"/>
      <c r="M113" s="10"/>
      <c r="N113" s="10"/>
      <c r="O113" s="10"/>
      <c r="P113" s="10"/>
      <c r="Q113" s="10"/>
      <c r="R113" s="10"/>
      <c r="S113" s="10"/>
      <c r="T113" s="2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c r="AR113" s="10"/>
    </row>
    <row r="114" spans="1:44" ht="45.75" customHeight="1" x14ac:dyDescent="0.35">
      <c r="A114" s="10"/>
      <c r="B114" s="32"/>
      <c r="C114" s="107" t="e">
        <f>IF(G91&gt;0.2,"Il est vivement recommandé d'améliorer le niveau d'isolation des parois et viser un U de l'ordre de 0,16 W/m²K ou inférieur","Le niveau d'isolation thermique moyen semble acceptable")</f>
        <v>#DIV/0!</v>
      </c>
      <c r="D114" s="32"/>
      <c r="E114" s="32"/>
      <c r="F114" s="32"/>
      <c r="G114" s="32"/>
      <c r="H114" s="32"/>
      <c r="I114" s="32"/>
      <c r="J114" s="32"/>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row>
    <row r="115" spans="1:44" ht="45.75" customHeight="1" x14ac:dyDescent="0.25">
      <c r="A115" s="10"/>
      <c r="B115" s="32"/>
      <c r="C115" s="32"/>
      <c r="D115" s="32"/>
      <c r="E115" s="32"/>
      <c r="F115" s="32"/>
      <c r="G115" s="32"/>
      <c r="H115" s="32"/>
      <c r="I115" s="32"/>
      <c r="J115" s="32"/>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row>
    <row r="116" spans="1:44" ht="18" customHeight="1" x14ac:dyDescent="0.35">
      <c r="A116" s="10"/>
      <c r="B116" s="24" t="s">
        <v>180</v>
      </c>
      <c r="C116" s="24" t="s">
        <v>181</v>
      </c>
      <c r="D116" s="32"/>
      <c r="E116" s="10"/>
      <c r="F116" s="97"/>
      <c r="G116" s="26"/>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row>
    <row r="117" spans="1:44" ht="12" customHeight="1" x14ac:dyDescent="0.25">
      <c r="A117" s="10"/>
      <c r="B117" s="32"/>
      <c r="C117" s="32"/>
      <c r="D117" s="32"/>
      <c r="E117" s="26"/>
      <c r="F117" s="26"/>
      <c r="G117" s="10"/>
      <c r="H117" s="128"/>
      <c r="I117" s="26"/>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44" ht="12" customHeight="1" x14ac:dyDescent="0.25">
      <c r="A118" s="10"/>
      <c r="B118" s="32"/>
      <c r="C118" s="32"/>
      <c r="D118" s="32"/>
      <c r="E118" s="32"/>
      <c r="F118" s="32"/>
      <c r="G118" s="32"/>
      <c r="H118" s="32"/>
      <c r="I118" s="32"/>
      <c r="J118" s="32"/>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row>
    <row r="119" spans="1:44" ht="12" customHeight="1" x14ac:dyDescent="0.25">
      <c r="A119" s="10"/>
      <c r="B119" s="222" t="s">
        <v>59</v>
      </c>
      <c r="C119" s="41" t="s">
        <v>182</v>
      </c>
      <c r="D119" s="25"/>
      <c r="E119" s="32"/>
      <c r="J119" s="32"/>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row>
    <row r="120" spans="1:44" ht="12" customHeight="1" x14ac:dyDescent="0.25">
      <c r="A120" s="10"/>
      <c r="B120" s="223"/>
      <c r="C120" s="32"/>
      <c r="D120" s="25"/>
      <c r="E120" s="32"/>
      <c r="H120" s="99"/>
      <c r="I120" s="99"/>
      <c r="J120" s="32"/>
      <c r="L120" s="10"/>
      <c r="M120" s="10"/>
      <c r="N120" s="10"/>
      <c r="O120" s="10"/>
      <c r="P120" s="10" t="s">
        <v>350</v>
      </c>
      <c r="Q120" s="10" t="s">
        <v>351</v>
      </c>
      <c r="R120" s="10" t="s">
        <v>352</v>
      </c>
      <c r="S120" s="10" t="s">
        <v>353</v>
      </c>
      <c r="T120" s="10" t="s">
        <v>354</v>
      </c>
      <c r="U120" s="10" t="s">
        <v>355</v>
      </c>
      <c r="V120" s="10" t="s">
        <v>356</v>
      </c>
      <c r="W120" s="10" t="s">
        <v>357</v>
      </c>
      <c r="X120" s="10" t="s">
        <v>358</v>
      </c>
      <c r="Y120" s="10" t="s">
        <v>359</v>
      </c>
      <c r="Z120" s="10" t="s">
        <v>360</v>
      </c>
      <c r="AA120" s="10" t="s">
        <v>361</v>
      </c>
      <c r="AB120" s="10" t="s">
        <v>362</v>
      </c>
      <c r="AC120" s="10"/>
      <c r="AD120" s="10"/>
      <c r="AE120" s="10"/>
      <c r="AF120" s="10"/>
      <c r="AG120" s="10"/>
      <c r="AH120" s="10"/>
      <c r="AI120" s="10"/>
      <c r="AJ120" s="10"/>
      <c r="AK120" s="10"/>
      <c r="AL120" s="10"/>
    </row>
    <row r="121" spans="1:44" ht="12" customHeight="1" x14ac:dyDescent="0.25">
      <c r="A121" s="10"/>
      <c r="B121" s="223"/>
      <c r="C121" s="32" t="s">
        <v>185</v>
      </c>
      <c r="D121" s="130">
        <f>'Situation initiale'!D133</f>
        <v>-9</v>
      </c>
      <c r="E121" s="32" t="s">
        <v>186</v>
      </c>
      <c r="F121" s="129" t="s">
        <v>363</v>
      </c>
      <c r="H121" s="131"/>
      <c r="I121" s="131"/>
      <c r="J121" s="32"/>
      <c r="L121" s="10"/>
      <c r="M121" s="10"/>
      <c r="N121" s="10"/>
      <c r="O121" s="10"/>
      <c r="P121" s="10"/>
      <c r="Q121" s="10"/>
      <c r="R121" s="10"/>
      <c r="S121" s="10"/>
      <c r="T121" s="10"/>
      <c r="U121" s="10"/>
      <c r="Y121" s="10"/>
      <c r="Z121" s="10"/>
      <c r="AA121" s="10"/>
      <c r="AB121" s="10"/>
      <c r="AC121" s="10"/>
      <c r="AD121" s="10"/>
      <c r="AE121" s="10"/>
      <c r="AF121" s="10"/>
      <c r="AG121" s="10"/>
      <c r="AH121" s="10"/>
      <c r="AI121" s="10"/>
      <c r="AJ121" s="10"/>
      <c r="AK121" s="10"/>
      <c r="AL121" s="10"/>
    </row>
    <row r="122" spans="1:44" ht="12" customHeight="1" x14ac:dyDescent="0.25">
      <c r="A122" s="10"/>
      <c r="B122" s="223"/>
      <c r="C122" s="32" t="s">
        <v>187</v>
      </c>
      <c r="D122" s="51">
        <f>'Situation initiale'!D134</f>
        <v>2281.0909999999999</v>
      </c>
      <c r="E122" s="32"/>
      <c r="F122" s="129" t="s">
        <v>364</v>
      </c>
      <c r="H122" s="131"/>
      <c r="I122" s="131"/>
      <c r="J122" s="32"/>
      <c r="L122" s="10"/>
      <c r="M122" s="10"/>
      <c r="N122" s="10"/>
      <c r="O122" s="10"/>
      <c r="P122" s="155">
        <f>SUM(Q122:AB122)</f>
        <v>2281.0909999999999</v>
      </c>
      <c r="Q122" s="155">
        <f>$D$122/'Liste des communes'!$G$8*'Liste des communes'!H8</f>
        <v>432.97220452316071</v>
      </c>
      <c r="R122" s="155">
        <f>$D$122/'Liste des communes'!$G$8*'Liste des communes'!I8</f>
        <v>375.29230130790182</v>
      </c>
      <c r="S122" s="155">
        <f>$D$122/'Liste des communes'!$G$8*'Liste des communes'!J8</f>
        <v>300.95483983651224</v>
      </c>
      <c r="T122" s="155">
        <f>$D$122/'Liste des communes'!$G$8*'Liste des communes'!K8</f>
        <v>178.75797591280653</v>
      </c>
      <c r="U122" s="155">
        <f>$D$122/'Liste des communes'!$G$8*'Liste des communes'!L8</f>
        <v>84.530892643051757</v>
      </c>
      <c r="V122" s="155">
        <f>$D$122/'Liste des communes'!$G$8*'Liste des communes'!M8</f>
        <v>22.99737520435967</v>
      </c>
      <c r="W122" s="155">
        <f>$D$122/'Liste des communes'!$G$8*'Liste des communes'!N8</f>
        <v>3.6049939509536779</v>
      </c>
      <c r="X122" s="155">
        <f>$D$122/'Liste des communes'!$G$8*'Liste des communes'!O8</f>
        <v>4.3508547683923702</v>
      </c>
      <c r="Y122" s="155">
        <f>$D$122/'Liste des communes'!$G$8*'Liste des communes'!P8</f>
        <v>34.060977329700265</v>
      </c>
      <c r="Z122" s="155">
        <f>$D$122/'Liste des communes'!$G$8*'Liste des communes'!Q8</f>
        <v>144.82130871934604</v>
      </c>
      <c r="AA122" s="155">
        <f>$D$122/'Liste des communes'!$G$8*'Liste des communes'!R8</f>
        <v>288.523826212534</v>
      </c>
      <c r="AB122" s="155">
        <f>$D$122/'Liste des communes'!$G$8*'Liste des communes'!S8</f>
        <v>410.2234495912806</v>
      </c>
      <c r="AC122" s="10"/>
      <c r="AD122" s="10"/>
      <c r="AE122" s="10"/>
      <c r="AF122" s="10"/>
      <c r="AG122" s="10"/>
      <c r="AH122" s="10"/>
      <c r="AI122" s="10"/>
      <c r="AJ122" s="10"/>
      <c r="AK122" s="10"/>
      <c r="AL122" s="10"/>
    </row>
    <row r="123" spans="1:44" ht="12" customHeight="1" x14ac:dyDescent="0.25">
      <c r="A123" s="10"/>
      <c r="B123" s="224"/>
      <c r="C123" s="32" t="s">
        <v>188</v>
      </c>
      <c r="D123" s="132">
        <f>15-D122/D124</f>
        <v>5.5740041322314049</v>
      </c>
      <c r="E123" s="32" t="s">
        <v>186</v>
      </c>
      <c r="F123" s="129" t="s">
        <v>365</v>
      </c>
      <c r="H123" s="99"/>
      <c r="I123" s="99"/>
      <c r="J123" s="32"/>
      <c r="L123" s="10"/>
      <c r="M123" s="10"/>
      <c r="N123" s="10"/>
      <c r="O123" s="10"/>
      <c r="P123" s="155"/>
      <c r="Q123" s="155">
        <f>15-Q122/Q124</f>
        <v>1.0331546928012667</v>
      </c>
      <c r="R123" s="155">
        <f t="shared" ref="R123:AB123" si="10">15-R122/R124</f>
        <v>1.5967035247177925</v>
      </c>
      <c r="S123" s="155">
        <f t="shared" si="10"/>
        <v>5.2917793601125087</v>
      </c>
      <c r="T123" s="155">
        <f t="shared" si="10"/>
        <v>9.0414008029064483</v>
      </c>
      <c r="U123" s="155">
        <f t="shared" si="10"/>
        <v>9.3646071571298819</v>
      </c>
      <c r="V123" s="155"/>
      <c r="W123" s="155"/>
      <c r="X123" s="155"/>
      <c r="Y123" s="155">
        <f t="shared" si="10"/>
        <v>12.729268178019982</v>
      </c>
      <c r="Z123" s="155">
        <f t="shared" si="10"/>
        <v>10.328344880021096</v>
      </c>
      <c r="AA123" s="155">
        <f t="shared" si="10"/>
        <v>5.3825391262488669</v>
      </c>
      <c r="AB123" s="155">
        <f t="shared" si="10"/>
        <v>1.7669854970554653</v>
      </c>
      <c r="AC123" s="10"/>
      <c r="AD123" s="10"/>
      <c r="AE123" s="10"/>
      <c r="AF123" s="10"/>
      <c r="AG123" s="10"/>
      <c r="AH123" s="10"/>
      <c r="AI123" s="10"/>
      <c r="AJ123" s="10"/>
      <c r="AK123" s="10"/>
      <c r="AL123" s="10"/>
    </row>
    <row r="124" spans="1:44" ht="12" customHeight="1" x14ac:dyDescent="0.25">
      <c r="A124" s="10"/>
      <c r="B124" s="225"/>
      <c r="C124" s="32" t="s">
        <v>189</v>
      </c>
      <c r="D124" s="130">
        <v>242</v>
      </c>
      <c r="E124" s="32" t="s">
        <v>190</v>
      </c>
      <c r="F124" s="10" t="s">
        <v>366</v>
      </c>
      <c r="G124" s="99"/>
      <c r="H124" s="99"/>
      <c r="I124" s="99"/>
      <c r="J124" s="32"/>
      <c r="L124" s="10"/>
      <c r="M124" s="10"/>
      <c r="N124" s="10"/>
      <c r="O124" s="10"/>
      <c r="P124" s="155">
        <f>SUM(Q124:AB124)</f>
        <v>242</v>
      </c>
      <c r="Q124" s="155">
        <v>31</v>
      </c>
      <c r="R124" s="155">
        <v>28</v>
      </c>
      <c r="S124" s="155">
        <v>31</v>
      </c>
      <c r="T124" s="155">
        <v>30</v>
      </c>
      <c r="U124" s="155">
        <v>15</v>
      </c>
      <c r="V124" s="155">
        <v>0</v>
      </c>
      <c r="W124" s="155">
        <v>0</v>
      </c>
      <c r="X124" s="155">
        <v>0</v>
      </c>
      <c r="Y124" s="155">
        <v>15</v>
      </c>
      <c r="Z124" s="155">
        <v>31</v>
      </c>
      <c r="AA124" s="155">
        <v>30</v>
      </c>
      <c r="AB124" s="155">
        <v>31</v>
      </c>
      <c r="AC124" s="10"/>
      <c r="AD124" s="10"/>
      <c r="AE124" s="10"/>
      <c r="AF124" s="10"/>
      <c r="AG124" s="10"/>
      <c r="AH124" s="10"/>
      <c r="AI124" s="10"/>
      <c r="AJ124" s="10"/>
      <c r="AK124" s="10"/>
      <c r="AL124" s="10"/>
    </row>
    <row r="125" spans="1:44" ht="12" customHeight="1" x14ac:dyDescent="0.25">
      <c r="A125" s="10"/>
      <c r="B125" s="10"/>
      <c r="C125" s="10"/>
      <c r="D125" s="10"/>
      <c r="E125" s="10"/>
      <c r="F125" s="10"/>
      <c r="G125" s="10"/>
      <c r="H125" s="10"/>
      <c r="I125" s="10"/>
      <c r="J125" s="10"/>
      <c r="L125" s="10"/>
      <c r="M125" s="10"/>
      <c r="N125" s="10"/>
      <c r="R125" s="10"/>
      <c r="S125" s="10"/>
      <c r="T125" s="10"/>
      <c r="U125" s="10"/>
      <c r="V125" s="10"/>
      <c r="W125" s="10"/>
      <c r="X125" s="10"/>
      <c r="Y125" s="10"/>
      <c r="Z125" s="10"/>
      <c r="AA125" s="10"/>
      <c r="AB125" s="10"/>
      <c r="AC125" s="10"/>
      <c r="AD125" s="10"/>
      <c r="AE125" s="10"/>
      <c r="AF125" s="10"/>
      <c r="AG125" s="10"/>
      <c r="AH125" s="10"/>
      <c r="AI125" s="10"/>
      <c r="AJ125" s="10"/>
      <c r="AK125" s="10"/>
      <c r="AL125" s="10"/>
    </row>
    <row r="126" spans="1:44" ht="12" customHeight="1" x14ac:dyDescent="0.25">
      <c r="A126" s="10"/>
      <c r="B126" s="10"/>
      <c r="C126" s="10"/>
      <c r="D126" s="10"/>
      <c r="E126" s="10"/>
      <c r="F126" s="10"/>
      <c r="G126" s="10"/>
      <c r="H126" s="10"/>
      <c r="I126" s="10"/>
      <c r="J126" s="10"/>
      <c r="L126" s="10"/>
      <c r="M126" s="10"/>
      <c r="N126" s="10"/>
      <c r="R126" s="10"/>
      <c r="S126" s="10"/>
      <c r="T126" s="10"/>
      <c r="U126" s="10"/>
      <c r="V126" s="10"/>
      <c r="W126" s="10"/>
      <c r="X126" s="10"/>
      <c r="Y126" s="10"/>
      <c r="Z126" s="10"/>
      <c r="AA126" s="10"/>
      <c r="AB126" s="10"/>
      <c r="AC126" s="10"/>
      <c r="AD126" s="10"/>
      <c r="AE126" s="10"/>
      <c r="AF126" s="10"/>
      <c r="AG126" s="10"/>
      <c r="AH126" s="10"/>
      <c r="AI126" s="10"/>
      <c r="AJ126" s="10"/>
      <c r="AK126" s="10"/>
      <c r="AL126" s="10"/>
    </row>
    <row r="127" spans="1:44" ht="12" customHeight="1" x14ac:dyDescent="0.25">
      <c r="A127" s="10"/>
      <c r="B127" s="222" t="s">
        <v>102</v>
      </c>
      <c r="C127" s="41" t="s">
        <v>232</v>
      </c>
      <c r="D127" s="10"/>
      <c r="E127" s="10"/>
      <c r="F127" s="26" t="s">
        <v>233</v>
      </c>
      <c r="J127" s="10"/>
      <c r="L127" s="10"/>
      <c r="M127" s="10"/>
      <c r="N127" s="10"/>
      <c r="R127" s="10"/>
      <c r="S127" s="10"/>
      <c r="T127" s="10"/>
      <c r="U127" s="10"/>
      <c r="V127" s="10"/>
      <c r="W127" s="10"/>
      <c r="X127" s="10"/>
      <c r="Y127" s="10"/>
      <c r="Z127" s="10"/>
      <c r="AA127" s="10"/>
      <c r="AB127" s="10"/>
      <c r="AC127" s="10"/>
      <c r="AD127" s="10"/>
      <c r="AE127" s="10"/>
      <c r="AF127" s="10"/>
      <c r="AG127" s="10"/>
      <c r="AH127" s="10"/>
      <c r="AI127" s="10"/>
      <c r="AJ127" s="10"/>
      <c r="AK127" s="10"/>
      <c r="AL127" s="10"/>
    </row>
    <row r="128" spans="1:44" x14ac:dyDescent="0.25">
      <c r="A128" s="10"/>
      <c r="B128" s="224"/>
      <c r="F128" s="42" t="s">
        <v>234</v>
      </c>
      <c r="G128" s="43" t="s">
        <v>235</v>
      </c>
      <c r="H128" s="43" t="s">
        <v>236</v>
      </c>
      <c r="I128" s="43" t="s">
        <v>237</v>
      </c>
      <c r="J128" s="10"/>
      <c r="K128" s="84"/>
      <c r="L128" s="10"/>
      <c r="M128" s="10"/>
      <c r="N128" s="10"/>
      <c r="R128" s="10"/>
      <c r="S128" s="10"/>
      <c r="T128" s="10"/>
      <c r="U128" s="10"/>
      <c r="V128" s="10"/>
      <c r="W128" s="10"/>
      <c r="X128" s="10"/>
      <c r="Y128" s="10"/>
      <c r="Z128" s="10"/>
      <c r="AA128" s="10"/>
      <c r="AB128" s="10"/>
      <c r="AC128" s="10"/>
      <c r="AD128" s="10"/>
      <c r="AE128" s="10"/>
      <c r="AF128" s="10"/>
      <c r="AG128" s="10"/>
      <c r="AH128" s="10"/>
      <c r="AI128" s="10"/>
      <c r="AJ128" s="10"/>
      <c r="AK128" s="10"/>
      <c r="AL128" s="10"/>
    </row>
    <row r="129" spans="1:38" x14ac:dyDescent="0.25">
      <c r="A129" s="10"/>
      <c r="B129" s="224"/>
      <c r="C129" s="32" t="s">
        <v>367</v>
      </c>
      <c r="D129" s="159">
        <f>'Situation initiale'!D181</f>
        <v>21</v>
      </c>
      <c r="E129" s="32" t="s">
        <v>239</v>
      </c>
      <c r="F129" s="43" t="s">
        <v>240</v>
      </c>
      <c r="G129" s="43" t="s">
        <v>241</v>
      </c>
      <c r="H129" s="43" t="s">
        <v>242</v>
      </c>
      <c r="I129" s="43" t="s">
        <v>242</v>
      </c>
      <c r="J129" s="40" t="s">
        <v>250</v>
      </c>
      <c r="L129" s="10"/>
      <c r="M129" s="10"/>
      <c r="N129" s="10"/>
      <c r="R129" s="10"/>
      <c r="S129" s="10"/>
      <c r="T129" s="10"/>
      <c r="U129" s="10"/>
      <c r="V129" s="10"/>
      <c r="W129" s="10"/>
      <c r="X129" s="10"/>
      <c r="Y129" s="10"/>
      <c r="Z129" s="10"/>
      <c r="AA129" s="10"/>
      <c r="AB129" s="10"/>
      <c r="AC129" s="10"/>
      <c r="AD129" s="10"/>
      <c r="AE129" s="10"/>
      <c r="AF129" s="10"/>
      <c r="AG129" s="10"/>
      <c r="AH129" s="10"/>
      <c r="AI129" s="10"/>
      <c r="AJ129" s="10"/>
      <c r="AK129" s="10"/>
      <c r="AL129" s="10"/>
    </row>
    <row r="130" spans="1:38" x14ac:dyDescent="0.25">
      <c r="A130" s="10"/>
      <c r="B130" s="248"/>
      <c r="C130" s="32" t="s">
        <v>243</v>
      </c>
      <c r="D130" s="159">
        <f>'Situation initiale'!D182</f>
        <v>3</v>
      </c>
      <c r="E130" s="32" t="s">
        <v>244</v>
      </c>
      <c r="F130" s="43" t="s">
        <v>245</v>
      </c>
      <c r="G130" s="43" t="s">
        <v>246</v>
      </c>
      <c r="H130" s="43" t="s">
        <v>247</v>
      </c>
      <c r="I130" s="43" t="s">
        <v>248</v>
      </c>
      <c r="J130" s="39" t="s">
        <v>368</v>
      </c>
      <c r="L130" s="10"/>
      <c r="M130" s="10"/>
      <c r="N130" s="10"/>
      <c r="O130" s="10"/>
      <c r="R130" s="10"/>
      <c r="S130" s="10"/>
      <c r="T130" s="10"/>
      <c r="U130" s="10"/>
      <c r="V130" s="10"/>
      <c r="W130" s="10"/>
      <c r="X130" s="10"/>
      <c r="Y130" s="10"/>
      <c r="Z130" s="10"/>
      <c r="AA130" s="10"/>
      <c r="AB130" s="10"/>
      <c r="AC130" s="10"/>
      <c r="AD130" s="10"/>
      <c r="AE130" s="10"/>
      <c r="AF130" s="10"/>
      <c r="AG130" s="10"/>
      <c r="AH130" s="10"/>
      <c r="AI130" s="10"/>
      <c r="AJ130" s="10"/>
      <c r="AK130" s="10"/>
      <c r="AL130" s="10"/>
    </row>
    <row r="131" spans="1:38" x14ac:dyDescent="0.25">
      <c r="A131" s="10"/>
      <c r="B131" s="174"/>
      <c r="C131" s="32" t="s">
        <v>249</v>
      </c>
      <c r="D131" s="130">
        <f>+D129-D130</f>
        <v>18</v>
      </c>
      <c r="E131" s="32" t="s">
        <v>186</v>
      </c>
      <c r="F131" s="99"/>
      <c r="G131" s="99"/>
      <c r="H131" s="99"/>
      <c r="I131" s="99"/>
      <c r="J131" s="39"/>
      <c r="L131" s="10"/>
      <c r="M131" s="10"/>
      <c r="N131" s="10"/>
      <c r="O131" s="10"/>
      <c r="R131" s="10"/>
      <c r="S131" s="10"/>
      <c r="T131" s="10"/>
      <c r="U131" s="10"/>
      <c r="V131" s="10"/>
      <c r="W131" s="10"/>
      <c r="X131" s="10"/>
      <c r="Y131" s="10"/>
      <c r="Z131" s="10"/>
      <c r="AA131" s="10"/>
      <c r="AB131" s="10"/>
      <c r="AC131" s="10"/>
      <c r="AD131" s="10"/>
      <c r="AE131" s="10"/>
      <c r="AF131" s="10"/>
      <c r="AG131" s="10"/>
      <c r="AH131" s="10"/>
      <c r="AI131" s="10"/>
      <c r="AJ131" s="10"/>
      <c r="AK131" s="10"/>
      <c r="AL131" s="10"/>
    </row>
    <row r="132" spans="1:38" x14ac:dyDescent="0.25">
      <c r="A132" s="10"/>
      <c r="B132" s="36"/>
      <c r="C132" s="32" t="s">
        <v>369</v>
      </c>
      <c r="D132" s="178" t="e">
        <f>'Situation initiale'!D184</f>
        <v>#DIV/0!</v>
      </c>
      <c r="E132" s="32" t="s">
        <v>186</v>
      </c>
      <c r="H132" s="10"/>
      <c r="I132" s="10"/>
      <c r="J132" s="10"/>
      <c r="K132" s="10"/>
      <c r="L132" s="10"/>
      <c r="M132" s="10"/>
      <c r="N132" s="10"/>
      <c r="R132" s="10"/>
      <c r="S132" s="10"/>
      <c r="T132" s="10"/>
      <c r="U132" s="10"/>
      <c r="V132" s="10"/>
      <c r="W132" s="10"/>
      <c r="X132" s="10"/>
      <c r="Y132" s="10"/>
      <c r="Z132" s="10"/>
      <c r="AA132" s="10"/>
      <c r="AB132" s="10"/>
      <c r="AC132" s="10"/>
      <c r="AD132" s="10"/>
      <c r="AE132" s="10"/>
      <c r="AF132" s="10"/>
      <c r="AG132" s="10"/>
      <c r="AH132" s="10"/>
      <c r="AI132" s="10"/>
      <c r="AJ132" s="10"/>
      <c r="AK132" s="10"/>
      <c r="AL132" s="10"/>
    </row>
    <row r="133" spans="1:38" ht="47.5" customHeight="1" x14ac:dyDescent="0.25">
      <c r="A133" s="10"/>
      <c r="B133" s="10"/>
      <c r="C133" s="249" t="s">
        <v>370</v>
      </c>
      <c r="D133" s="249"/>
      <c r="E133" s="249"/>
      <c r="F133" s="249"/>
      <c r="G133" s="249"/>
      <c r="H133" s="249"/>
      <c r="I133" s="249"/>
      <c r="J133" s="249"/>
      <c r="K133" s="249"/>
      <c r="L133" s="249"/>
      <c r="M133" s="249"/>
      <c r="N133" s="249"/>
      <c r="O133" s="249"/>
      <c r="P133" s="249"/>
      <c r="Q133" s="249"/>
      <c r="R133" s="249"/>
      <c r="S133" s="249"/>
      <c r="T133" s="249"/>
      <c r="U133" s="249"/>
      <c r="V133" s="249"/>
      <c r="W133" s="10"/>
      <c r="X133" s="10"/>
      <c r="Y133" s="10"/>
      <c r="Z133" s="10"/>
      <c r="AA133" s="10"/>
      <c r="AB133" s="10"/>
      <c r="AC133" s="10"/>
      <c r="AD133" s="10"/>
      <c r="AE133" s="10"/>
      <c r="AF133" s="10"/>
      <c r="AG133" s="10"/>
      <c r="AH133" s="10"/>
      <c r="AI133" s="10"/>
      <c r="AJ133" s="10"/>
      <c r="AK133" s="10"/>
      <c r="AL133" s="10"/>
    </row>
    <row r="134" spans="1:38" ht="13.5" customHeight="1" x14ac:dyDescent="0.25">
      <c r="A134" s="10"/>
      <c r="B134" s="10"/>
      <c r="C134" s="10"/>
      <c r="D134" s="10"/>
      <c r="E134" s="10"/>
      <c r="F134" s="39"/>
      <c r="H134" s="10"/>
      <c r="I134" s="10"/>
      <c r="J134" s="10"/>
      <c r="K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row>
    <row r="135" spans="1:38" ht="13.5" customHeight="1" x14ac:dyDescent="0.25">
      <c r="A135" s="10"/>
      <c r="B135" s="222" t="s">
        <v>108</v>
      </c>
      <c r="C135" s="41" t="s">
        <v>191</v>
      </c>
      <c r="D135" s="10"/>
      <c r="E135" s="10"/>
      <c r="I135" s="10"/>
      <c r="J135" s="10"/>
      <c r="K135" s="10"/>
      <c r="P135" s="10"/>
      <c r="Q135" s="10"/>
      <c r="W135" s="10"/>
      <c r="X135" s="10"/>
      <c r="Y135" s="10"/>
      <c r="Z135" s="10"/>
      <c r="AA135" s="10"/>
      <c r="AB135" s="10"/>
      <c r="AC135" s="10"/>
      <c r="AD135" s="10"/>
      <c r="AE135" s="10"/>
      <c r="AF135" s="10"/>
      <c r="AG135" s="10"/>
      <c r="AH135" s="10"/>
      <c r="AI135" s="10"/>
      <c r="AJ135" s="10"/>
      <c r="AK135" s="10"/>
      <c r="AL135" s="10"/>
    </row>
    <row r="136" spans="1:38" ht="13.5" customHeight="1" x14ac:dyDescent="0.25">
      <c r="A136" s="10"/>
      <c r="B136" s="223"/>
      <c r="C136" s="26" t="s">
        <v>371</v>
      </c>
      <c r="D136" s="16"/>
      <c r="E136" s="10" t="s">
        <v>224</v>
      </c>
      <c r="F136" s="46" t="s">
        <v>192</v>
      </c>
      <c r="G136" s="43" t="s">
        <v>193</v>
      </c>
      <c r="H136" s="46" t="s">
        <v>194</v>
      </c>
      <c r="I136" s="46" t="s">
        <v>195</v>
      </c>
      <c r="J136" s="10"/>
      <c r="K136" s="10"/>
      <c r="P136" s="10"/>
      <c r="Q136" s="10"/>
      <c r="T136" s="35" t="s">
        <v>335</v>
      </c>
      <c r="U136" s="35" t="s">
        <v>336</v>
      </c>
      <c r="V136" s="35" t="s">
        <v>337</v>
      </c>
      <c r="W136" s="10"/>
      <c r="X136" s="10"/>
      <c r="Y136" s="10"/>
      <c r="Z136" s="10"/>
      <c r="AA136" s="10"/>
      <c r="AB136" s="10"/>
      <c r="AC136" s="10"/>
      <c r="AD136" s="10"/>
      <c r="AE136" s="10"/>
      <c r="AF136" s="10"/>
      <c r="AG136" s="10"/>
      <c r="AH136" s="10"/>
      <c r="AI136" s="10"/>
      <c r="AJ136" s="10"/>
      <c r="AK136" s="10"/>
      <c r="AL136" s="10"/>
    </row>
    <row r="137" spans="1:38" ht="13.5" customHeight="1" x14ac:dyDescent="0.25">
      <c r="A137" s="10"/>
      <c r="B137" s="224"/>
      <c r="C137" s="32" t="s">
        <v>196</v>
      </c>
      <c r="D137" s="16">
        <f>'Situation initiale'!D141</f>
        <v>8</v>
      </c>
      <c r="E137" s="32" t="s">
        <v>197</v>
      </c>
      <c r="F137" s="133">
        <v>12</v>
      </c>
      <c r="G137" s="133">
        <v>8</v>
      </c>
      <c r="H137" s="133">
        <v>3</v>
      </c>
      <c r="I137" s="133">
        <v>1</v>
      </c>
      <c r="J137" s="10"/>
      <c r="K137" s="10"/>
      <c r="P137" s="10"/>
      <c r="Q137" s="10"/>
      <c r="R137" s="10"/>
      <c r="S137" s="10"/>
      <c r="T137" s="155" t="e">
        <f>IF(D142&lt;&gt;'Situation initiale'!D146,'Situation initiale'!D146/(deperd_init+pertes_chau_init)*conso_init-D142/(deperd_reno+pertes_chau_reno)*conso_reno,0)</f>
        <v>#DIV/0!</v>
      </c>
      <c r="U137" s="18" t="e">
        <f>T137*cout_vect</f>
        <v>#DIV/0!</v>
      </c>
      <c r="V137" s="18" t="e">
        <f>D136/U137</f>
        <v>#DIV/0!</v>
      </c>
      <c r="W137" s="10"/>
      <c r="X137" s="10"/>
      <c r="Y137" s="10"/>
      <c r="Z137" s="10"/>
      <c r="AA137" s="10"/>
      <c r="AB137" s="10"/>
      <c r="AC137" s="10"/>
      <c r="AD137" s="10"/>
      <c r="AE137" s="10"/>
      <c r="AF137" s="10"/>
      <c r="AG137" s="10"/>
      <c r="AH137" s="10"/>
      <c r="AI137" s="10"/>
      <c r="AJ137" s="10"/>
      <c r="AK137" s="10"/>
      <c r="AL137" s="10"/>
    </row>
    <row r="138" spans="1:38" ht="13.5" customHeight="1" x14ac:dyDescent="0.25">
      <c r="A138" s="10"/>
      <c r="B138" s="224"/>
      <c r="C138" s="32" t="s">
        <v>372</v>
      </c>
      <c r="D138" s="155">
        <f>0.75*D104</f>
        <v>0</v>
      </c>
      <c r="E138" s="32" t="s">
        <v>164</v>
      </c>
      <c r="F138" s="99"/>
      <c r="G138" s="134"/>
      <c r="H138" s="134"/>
      <c r="I138" s="10"/>
      <c r="J138" s="10"/>
      <c r="K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row>
    <row r="139" spans="1:38" ht="13.5" customHeight="1" x14ac:dyDescent="0.25">
      <c r="A139" s="10"/>
      <c r="B139" s="224"/>
      <c r="C139" s="32" t="s">
        <v>199</v>
      </c>
      <c r="D139" s="52" t="e">
        <f>D137/D106*D104/D138</f>
        <v>#DIV/0!</v>
      </c>
      <c r="E139" s="32" t="s">
        <v>200</v>
      </c>
      <c r="F139" s="99"/>
      <c r="G139" s="134"/>
      <c r="H139" s="134"/>
      <c r="I139" s="10"/>
      <c r="J139" s="10"/>
      <c r="K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row>
    <row r="140" spans="1:38" ht="13.5" customHeight="1" x14ac:dyDescent="0.25">
      <c r="A140" s="10"/>
      <c r="B140" s="224"/>
      <c r="C140" s="32" t="s">
        <v>201</v>
      </c>
      <c r="D140" s="52" t="e">
        <f>D139*0.04</f>
        <v>#DIV/0!</v>
      </c>
      <c r="E140" s="32" t="s">
        <v>202</v>
      </c>
      <c r="F140" s="99"/>
      <c r="G140" s="134"/>
      <c r="H140" s="134"/>
      <c r="I140" s="10"/>
      <c r="J140" s="10"/>
      <c r="K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row>
    <row r="141" spans="1:38" ht="13.5" customHeight="1" x14ac:dyDescent="0.25">
      <c r="A141" s="10"/>
      <c r="B141" s="224"/>
      <c r="C141" s="32" t="s">
        <v>203</v>
      </c>
      <c r="D141" s="52" t="e">
        <f>D140*2.5</f>
        <v>#DIV/0!</v>
      </c>
      <c r="E141" s="32" t="s">
        <v>202</v>
      </c>
      <c r="F141" s="99"/>
      <c r="G141" s="134"/>
      <c r="H141" s="134"/>
      <c r="I141" s="10"/>
      <c r="J141" s="10"/>
      <c r="K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row>
    <row r="142" spans="1:38" ht="13.5" customHeight="1" x14ac:dyDescent="0.25">
      <c r="A142" s="10"/>
      <c r="B142" s="224"/>
      <c r="C142" s="32" t="s">
        <v>373</v>
      </c>
      <c r="D142" s="51" t="e">
        <f>0.34*($D$132-$D$123)*D138*D140*$D$124*24/1000</f>
        <v>#DIV/0!</v>
      </c>
      <c r="E142" s="32" t="s">
        <v>178</v>
      </c>
      <c r="F142" s="99"/>
      <c r="G142" s="134"/>
      <c r="H142" s="134"/>
      <c r="I142" s="10"/>
      <c r="J142" s="10"/>
      <c r="K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row>
    <row r="143" spans="1:38" ht="13.5" customHeight="1" x14ac:dyDescent="0.25">
      <c r="A143" s="10"/>
      <c r="B143" s="224"/>
      <c r="C143" s="32"/>
      <c r="D143" s="10"/>
      <c r="E143" s="32"/>
      <c r="F143" s="99"/>
      <c r="G143" s="134"/>
      <c r="H143" s="134"/>
      <c r="I143" s="10"/>
      <c r="J143" s="10"/>
      <c r="K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row>
    <row r="144" spans="1:38" ht="13.5" customHeight="1" x14ac:dyDescent="0.25">
      <c r="A144" s="10"/>
      <c r="B144" s="224"/>
      <c r="C144" s="41" t="s">
        <v>205</v>
      </c>
      <c r="D144" s="10"/>
      <c r="E144" s="10"/>
      <c r="I144" s="10"/>
      <c r="J144" s="10"/>
      <c r="K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row>
    <row r="145" spans="1:38" ht="13.5" customHeight="1" x14ac:dyDescent="0.25">
      <c r="A145" s="10"/>
      <c r="B145" s="224"/>
      <c r="C145" s="26" t="s">
        <v>374</v>
      </c>
      <c r="D145" s="16"/>
      <c r="E145" s="10" t="s">
        <v>224</v>
      </c>
      <c r="F145" s="99"/>
      <c r="G145" s="134"/>
      <c r="H145" s="134"/>
      <c r="I145" s="10"/>
      <c r="J145" s="10"/>
      <c r="K145" s="10"/>
      <c r="P145" s="10"/>
      <c r="Q145" s="10"/>
      <c r="R145" s="10"/>
      <c r="S145" s="10"/>
      <c r="T145" s="35" t="s">
        <v>335</v>
      </c>
      <c r="U145" s="35" t="s">
        <v>336</v>
      </c>
      <c r="V145" s="35" t="s">
        <v>337</v>
      </c>
      <c r="W145" s="10"/>
      <c r="X145" s="10"/>
      <c r="Y145" s="10"/>
      <c r="Z145" s="10"/>
      <c r="AA145" s="10"/>
      <c r="AB145" s="10"/>
      <c r="AC145" s="10"/>
      <c r="AD145" s="10"/>
      <c r="AE145" s="10"/>
      <c r="AF145" s="10"/>
      <c r="AG145" s="10"/>
      <c r="AH145" s="10"/>
      <c r="AI145" s="10"/>
      <c r="AJ145" s="10"/>
      <c r="AK145" s="10"/>
      <c r="AL145" s="10"/>
    </row>
    <row r="146" spans="1:38" ht="13.5" customHeight="1" x14ac:dyDescent="0.25">
      <c r="A146" s="10"/>
      <c r="B146" s="224"/>
      <c r="C146" s="32" t="s">
        <v>375</v>
      </c>
      <c r="D146" s="159">
        <f>'Situation initiale'!D150</f>
        <v>60</v>
      </c>
      <c r="E146" s="32"/>
      <c r="F146" s="99"/>
      <c r="G146" s="134"/>
      <c r="H146" s="134"/>
      <c r="I146" s="10"/>
      <c r="J146" s="10"/>
      <c r="K146" s="10"/>
      <c r="P146" s="10"/>
      <c r="Q146" s="10"/>
      <c r="R146" s="10"/>
      <c r="S146" s="165" t="s">
        <v>376</v>
      </c>
      <c r="T146" s="155" t="e">
        <f>IF(D163&lt;&gt;'Situation initiale'!D167,'Situation initiale'!D167/(deperd_init+pertes_chau_init)*conso_init-D163/(deperd_reno+pertes_chau_reno)*conso_reno,0)</f>
        <v>#DIV/0!</v>
      </c>
      <c r="U146" s="18" t="e">
        <f>T146*cout_vect+'Situation initiale'!D169-D165</f>
        <v>#DIV/0!</v>
      </c>
      <c r="V146" s="18" t="e">
        <f>D145/U146</f>
        <v>#DIV/0!</v>
      </c>
      <c r="W146" s="10"/>
      <c r="X146" s="10"/>
      <c r="Y146" s="10"/>
      <c r="Z146" s="10"/>
      <c r="AA146" s="10"/>
      <c r="AB146" s="10"/>
      <c r="AC146" s="10"/>
      <c r="AD146" s="10"/>
      <c r="AE146" s="10"/>
      <c r="AF146" s="10"/>
      <c r="AG146" s="10"/>
      <c r="AH146" s="10"/>
      <c r="AI146" s="10"/>
      <c r="AJ146" s="10"/>
      <c r="AK146" s="10"/>
      <c r="AL146" s="10"/>
    </row>
    <row r="147" spans="1:38" ht="13.5" customHeight="1" x14ac:dyDescent="0.25">
      <c r="A147" s="10"/>
      <c r="B147" s="224"/>
      <c r="C147" s="32" t="s">
        <v>377</v>
      </c>
      <c r="D147" s="51">
        <f>D146*30</f>
        <v>1800</v>
      </c>
      <c r="E147" s="32" t="s">
        <v>208</v>
      </c>
      <c r="F147" s="99"/>
      <c r="G147" s="134"/>
      <c r="H147" s="134"/>
      <c r="I147" s="10"/>
      <c r="J147" s="10"/>
      <c r="K147" s="10"/>
      <c r="P147" s="10"/>
      <c r="Q147" s="10"/>
      <c r="R147" s="10"/>
      <c r="S147" s="165" t="s">
        <v>378</v>
      </c>
      <c r="T147" s="155" t="e">
        <f>IF(G163&lt;&gt;'Situation initiale'!D167,'Situation initiale'!G167/(deperd_init+pertes_chau_init)*conso_init-G163/(deperd_reno+pertes_chau_reno)*conso_reno,0)</f>
        <v>#DIV/0!</v>
      </c>
      <c r="U147" s="155" t="e">
        <f>T147*cout_vect+'Situation initiale'!G169-G165</f>
        <v>#DIV/0!</v>
      </c>
      <c r="V147" s="18" t="e">
        <f>D145/U147</f>
        <v>#DIV/0!</v>
      </c>
      <c r="W147" s="10"/>
      <c r="X147" s="10"/>
      <c r="Y147" s="10"/>
      <c r="Z147" s="10"/>
      <c r="AA147" s="10"/>
      <c r="AB147" s="10"/>
      <c r="AC147" s="10"/>
      <c r="AD147" s="10"/>
      <c r="AE147" s="10"/>
      <c r="AF147" s="10"/>
      <c r="AG147" s="10"/>
      <c r="AH147" s="10"/>
      <c r="AI147" s="10"/>
      <c r="AJ147" s="10"/>
      <c r="AK147" s="10"/>
      <c r="AL147" s="10"/>
    </row>
    <row r="148" spans="1:38" ht="13.5" customHeight="1" x14ac:dyDescent="0.25">
      <c r="A148" s="10"/>
      <c r="B148" s="224"/>
      <c r="C148" s="32" t="s">
        <v>209</v>
      </c>
      <c r="F148" s="99"/>
      <c r="G148" s="159">
        <f>'Situation initiale'!G152</f>
        <v>0</v>
      </c>
      <c r="H148" s="32" t="s">
        <v>208</v>
      </c>
      <c r="I148" s="10"/>
      <c r="J148" s="10"/>
      <c r="K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row>
    <row r="149" spans="1:38" ht="13.5" customHeight="1" x14ac:dyDescent="0.25">
      <c r="A149" s="10"/>
      <c r="B149" s="224"/>
      <c r="C149" s="32" t="s">
        <v>379</v>
      </c>
      <c r="E149" s="32"/>
      <c r="F149" s="99"/>
      <c r="G149" s="159">
        <f>'Situation initiale'!G153</f>
        <v>0</v>
      </c>
      <c r="H149" s="53" t="s">
        <v>211</v>
      </c>
      <c r="I149" s="10"/>
      <c r="J149" s="10"/>
      <c r="K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row>
    <row r="150" spans="1:38" ht="13.5" customHeight="1" x14ac:dyDescent="0.25">
      <c r="A150" s="10"/>
      <c r="B150" s="224"/>
      <c r="C150" s="32"/>
      <c r="D150" s="99"/>
      <c r="E150" s="32"/>
      <c r="F150" s="99"/>
      <c r="G150" s="134"/>
      <c r="H150" s="134"/>
      <c r="I150" s="10"/>
      <c r="J150" s="10"/>
      <c r="K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row>
    <row r="151" spans="1:38" ht="13.5" customHeight="1" x14ac:dyDescent="0.25">
      <c r="A151" s="10"/>
      <c r="B151" s="224"/>
      <c r="C151" s="32" t="s">
        <v>380</v>
      </c>
      <c r="D151" s="32" t="s">
        <v>213</v>
      </c>
      <c r="E151" s="32" t="s">
        <v>214</v>
      </c>
      <c r="G151" s="134"/>
      <c r="H151" s="134"/>
      <c r="I151" s="10"/>
      <c r="J151" s="10"/>
      <c r="K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row>
    <row r="152" spans="1:38" ht="13.5" customHeight="1" x14ac:dyDescent="0.25">
      <c r="A152" s="10"/>
      <c r="B152" s="224"/>
      <c r="C152" s="32"/>
      <c r="D152" s="159">
        <f>'Situation initiale'!D156</f>
        <v>0</v>
      </c>
      <c r="E152" s="159">
        <f>'Situation initiale'!E156</f>
        <v>0</v>
      </c>
      <c r="G152" s="134"/>
      <c r="H152" s="134"/>
      <c r="I152" s="10"/>
      <c r="J152" s="10"/>
      <c r="K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row>
    <row r="153" spans="1:38" ht="13.5" customHeight="1" x14ac:dyDescent="0.25">
      <c r="A153" s="10"/>
      <c r="B153" s="224"/>
      <c r="C153" s="32"/>
      <c r="D153" s="159">
        <f>'Situation initiale'!D157</f>
        <v>0</v>
      </c>
      <c r="E153" s="159">
        <f>'Situation initiale'!E157</f>
        <v>0</v>
      </c>
      <c r="G153" s="134"/>
      <c r="H153" s="134"/>
      <c r="I153" s="10"/>
      <c r="J153" s="10"/>
      <c r="K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row>
    <row r="154" spans="1:38" ht="13.5" customHeight="1" x14ac:dyDescent="0.25">
      <c r="A154" s="10"/>
      <c r="B154" s="224"/>
      <c r="C154" s="32"/>
      <c r="D154" s="159">
        <f>'Situation initiale'!D158</f>
        <v>0</v>
      </c>
      <c r="E154" s="159">
        <f>'Situation initiale'!E158</f>
        <v>0</v>
      </c>
      <c r="G154" s="134"/>
      <c r="H154" s="134"/>
      <c r="I154" s="10"/>
      <c r="J154" s="10"/>
      <c r="K154" s="125"/>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row>
    <row r="155" spans="1:38" ht="13.5" customHeight="1" x14ac:dyDescent="0.25">
      <c r="A155" s="10"/>
      <c r="B155" s="224"/>
      <c r="C155" s="32"/>
      <c r="D155" s="159">
        <f>'Situation initiale'!D159</f>
        <v>0</v>
      </c>
      <c r="E155" s="159">
        <f>'Situation initiale'!E159</f>
        <v>0</v>
      </c>
      <c r="G155" s="134"/>
      <c r="H155" s="134"/>
      <c r="I155" s="10"/>
      <c r="J155" s="10"/>
      <c r="K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row>
    <row r="156" spans="1:38" ht="13.5" customHeight="1" x14ac:dyDescent="0.25">
      <c r="A156" s="10"/>
      <c r="B156" s="224"/>
      <c r="C156" s="32"/>
      <c r="G156" s="134"/>
      <c r="H156" s="134"/>
      <c r="I156" s="10"/>
      <c r="J156" s="10"/>
      <c r="K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row>
    <row r="157" spans="1:38" ht="13.5" customHeight="1" x14ac:dyDescent="0.25">
      <c r="A157" s="10"/>
      <c r="B157" s="224"/>
      <c r="C157" s="32" t="s">
        <v>215</v>
      </c>
      <c r="D157" s="159">
        <f>'Situation initiale'!D161</f>
        <v>0</v>
      </c>
      <c r="E157" s="32" t="s">
        <v>216</v>
      </c>
      <c r="G157" s="134"/>
      <c r="H157" s="134"/>
      <c r="I157" s="10"/>
      <c r="J157" s="10"/>
      <c r="K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row>
    <row r="158" spans="1:38" ht="13.5" customHeight="1" x14ac:dyDescent="0.25">
      <c r="A158" s="10"/>
      <c r="B158" s="224"/>
      <c r="C158" s="32" t="s">
        <v>381</v>
      </c>
      <c r="D158" s="51">
        <f>SUMPRODUCT(D152:D155,E152:E155)*30/24*D157/7</f>
        <v>0</v>
      </c>
      <c r="E158" s="32" t="s">
        <v>208</v>
      </c>
      <c r="G158" s="51">
        <f>G148*G149/24*D157/7</f>
        <v>0</v>
      </c>
      <c r="H158" s="32" t="s">
        <v>208</v>
      </c>
      <c r="I158" s="10"/>
      <c r="J158" s="10"/>
      <c r="K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row>
    <row r="159" spans="1:38" ht="13.5" customHeight="1" x14ac:dyDescent="0.25">
      <c r="A159" s="10"/>
      <c r="B159" s="224"/>
      <c r="I159" s="10"/>
      <c r="J159" s="10"/>
      <c r="K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row>
    <row r="160" spans="1:38" ht="13.5" customHeight="1" x14ac:dyDescent="0.35">
      <c r="A160" s="10"/>
      <c r="B160" s="224"/>
      <c r="C160" s="32" t="s">
        <v>218</v>
      </c>
      <c r="D160" s="16" t="s">
        <v>382</v>
      </c>
      <c r="E160" s="32"/>
      <c r="F160" s="83" t="str">
        <f>IF(AND(D160=Données!A112,D137&gt;1),"Vu la présence d'une ventilation double flux, le niveau d'étanchéité à l'air devrait être plus ambitieux (n50  ≤ 1 renouvellement /h)","")</f>
        <v>Vu la présence d'une ventilation double flux, le niveau d'étanchéité à l'air devrait être plus ambitieux (n50  ≤ 1 renouvellement /h)</v>
      </c>
      <c r="G160" s="99"/>
      <c r="I160" s="10"/>
      <c r="J160" s="10"/>
      <c r="K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row>
    <row r="161" spans="1:38" ht="13.5" customHeight="1" x14ac:dyDescent="0.35">
      <c r="A161" s="10"/>
      <c r="B161" s="224"/>
      <c r="C161" s="32" t="s">
        <v>220</v>
      </c>
      <c r="D161" s="16">
        <v>75</v>
      </c>
      <c r="E161" s="32" t="s">
        <v>221</v>
      </c>
      <c r="F161" s="83" t="str">
        <f>IF(AND(D160=Données!A112,D161&lt;1),"Le rendement d'un éventuel récupérateur de chaleur devrait être supérieur à 0!","")</f>
        <v/>
      </c>
      <c r="G161" s="53"/>
      <c r="H161" s="134"/>
      <c r="I161" s="10"/>
      <c r="J161" s="10"/>
      <c r="K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row>
    <row r="162" spans="1:38" ht="13.5" customHeight="1" x14ac:dyDescent="0.35">
      <c r="A162" s="10"/>
      <c r="B162" s="224"/>
      <c r="C162" s="32"/>
      <c r="E162" s="32"/>
      <c r="F162" s="83"/>
      <c r="G162" s="53"/>
      <c r="H162" s="134"/>
      <c r="I162" s="10"/>
      <c r="J162" s="10"/>
      <c r="K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row>
    <row r="163" spans="1:38" ht="13.5" customHeight="1" x14ac:dyDescent="0.35">
      <c r="A163" s="10"/>
      <c r="B163" s="224"/>
      <c r="C163" s="32" t="s">
        <v>222</v>
      </c>
      <c r="D163" s="51" t="e">
        <f>0.34*($D$132-$D$123)*(100-D161*0.95)/100*D158*$D$124*24/1000</f>
        <v>#DIV/0!</v>
      </c>
      <c r="E163" s="32" t="s">
        <v>178</v>
      </c>
      <c r="F163" s="83"/>
      <c r="G163" s="51" t="e">
        <f>0.34*($D$132-$D$123)*(100-D161*0.95)/100*G158*$D$124*24/1000</f>
        <v>#DIV/0!</v>
      </c>
      <c r="H163" s="32" t="s">
        <v>178</v>
      </c>
      <c r="I163" s="10"/>
      <c r="J163" s="10"/>
      <c r="K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row>
    <row r="164" spans="1:38" ht="13.5" customHeight="1" x14ac:dyDescent="0.35">
      <c r="A164" s="10"/>
      <c r="B164" s="224"/>
      <c r="C164" s="32" t="s">
        <v>223</v>
      </c>
      <c r="D164" s="51">
        <f>VLOOKUP(D160,Données!A110:B112,2)*0.4*D158*8760/1000</f>
        <v>0</v>
      </c>
      <c r="E164" s="32" t="s">
        <v>178</v>
      </c>
      <c r="F164" s="83"/>
      <c r="G164" s="51">
        <f>VLOOKUP(D160,Données!A110:B112,2)*0.4*G158*8760/1000</f>
        <v>0</v>
      </c>
      <c r="H164" s="32" t="s">
        <v>178</v>
      </c>
      <c r="I164" s="10"/>
      <c r="J164" s="10"/>
      <c r="K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row>
    <row r="165" spans="1:38" ht="13.5" customHeight="1" x14ac:dyDescent="0.35">
      <c r="A165" s="10"/>
      <c r="B165" s="224"/>
      <c r="C165" s="32" t="s">
        <v>223</v>
      </c>
      <c r="D165" s="51">
        <f>D164*$D$9</f>
        <v>0</v>
      </c>
      <c r="E165" s="32" t="s">
        <v>224</v>
      </c>
      <c r="F165" s="83"/>
      <c r="G165" s="51">
        <f>G164*$D$9</f>
        <v>0</v>
      </c>
      <c r="H165" s="32" t="s">
        <v>224</v>
      </c>
      <c r="I165" s="10"/>
      <c r="J165" s="10"/>
      <c r="K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row>
    <row r="166" spans="1:38" ht="13.5" customHeight="1" x14ac:dyDescent="0.25">
      <c r="A166" s="10"/>
      <c r="B166" s="224"/>
      <c r="C166" s="32"/>
      <c r="E166" s="32"/>
      <c r="F166" s="99"/>
      <c r="G166" s="134"/>
      <c r="H166" s="134"/>
      <c r="I166" s="10"/>
      <c r="J166" s="10"/>
      <c r="K166" s="10"/>
      <c r="L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row>
    <row r="167" spans="1:38" ht="13.5" customHeight="1" x14ac:dyDescent="0.25">
      <c r="A167" s="10"/>
      <c r="B167" s="224"/>
      <c r="C167" s="41" t="s">
        <v>383</v>
      </c>
      <c r="E167" s="32"/>
      <c r="F167" s="99"/>
      <c r="G167" s="134"/>
      <c r="H167" s="134"/>
      <c r="I167" s="10"/>
      <c r="J167" s="10"/>
      <c r="K167" s="88"/>
      <c r="P167" s="10"/>
      <c r="Q167" s="10"/>
      <c r="R167" s="10"/>
      <c r="S167" s="10"/>
      <c r="W167" s="10"/>
      <c r="X167" s="10"/>
      <c r="Y167" s="10"/>
      <c r="Z167" s="10"/>
      <c r="AA167" s="10"/>
      <c r="AB167" s="10"/>
      <c r="AC167" s="10"/>
      <c r="AD167" s="10"/>
      <c r="AE167" s="10"/>
      <c r="AF167" s="10"/>
      <c r="AG167" s="10"/>
      <c r="AH167" s="10"/>
      <c r="AI167" s="10"/>
      <c r="AJ167" s="10"/>
      <c r="AK167" s="10"/>
      <c r="AL167" s="10"/>
    </row>
    <row r="168" spans="1:38" ht="13.5" customHeight="1" x14ac:dyDescent="0.25">
      <c r="A168" s="10"/>
      <c r="B168" s="224"/>
      <c r="C168" s="32"/>
      <c r="E168" s="32"/>
      <c r="F168" s="42" t="s">
        <v>226</v>
      </c>
      <c r="G168" s="43" t="s">
        <v>227</v>
      </c>
      <c r="I168" s="10"/>
      <c r="J168" s="10"/>
      <c r="K168" s="10"/>
      <c r="P168" s="10"/>
      <c r="Q168" s="10"/>
      <c r="R168" s="10"/>
      <c r="S168" s="10"/>
      <c r="T168" s="35" t="s">
        <v>335</v>
      </c>
      <c r="U168" s="35" t="s">
        <v>336</v>
      </c>
      <c r="V168" s="35" t="s">
        <v>337</v>
      </c>
      <c r="W168" s="10"/>
      <c r="X168" s="10"/>
      <c r="Y168" s="10"/>
      <c r="Z168" s="10"/>
      <c r="AA168" s="10"/>
      <c r="AB168" s="10"/>
      <c r="AC168" s="10"/>
      <c r="AD168" s="10"/>
      <c r="AE168" s="10"/>
      <c r="AF168" s="10"/>
      <c r="AG168" s="10"/>
      <c r="AH168" s="10"/>
      <c r="AI168" s="10"/>
      <c r="AJ168" s="10"/>
      <c r="AK168" s="10"/>
      <c r="AL168" s="10"/>
    </row>
    <row r="169" spans="1:38" ht="13.5" customHeight="1" x14ac:dyDescent="0.25">
      <c r="A169" s="10"/>
      <c r="B169" s="224"/>
      <c r="C169" s="32" t="s">
        <v>228</v>
      </c>
      <c r="D169" s="16">
        <f>'Situation initiale'!D173</f>
        <v>0.3</v>
      </c>
      <c r="E169" s="32" t="s">
        <v>202</v>
      </c>
      <c r="F169" s="43">
        <v>0.3</v>
      </c>
      <c r="G169" s="43">
        <v>1</v>
      </c>
      <c r="H169" s="134"/>
      <c r="I169" s="10"/>
      <c r="J169" s="10"/>
      <c r="K169" s="10"/>
      <c r="P169" s="10"/>
      <c r="Q169" s="10"/>
      <c r="R169" s="10"/>
      <c r="S169" s="10"/>
      <c r="T169" s="155" t="e">
        <f>'Situation initiale'!D176/(deperd_init+pertes_chau_init)*conso_init-D172/(deperd_reno+pertes_chau_reno)*conso_reno</f>
        <v>#DIV/0!</v>
      </c>
      <c r="U169" s="18" t="e">
        <f>T169*cout_vect</f>
        <v>#DIV/0!</v>
      </c>
      <c r="V169" s="18" t="e">
        <f>(D136+D145)/U169</f>
        <v>#DIV/0!</v>
      </c>
      <c r="W169" s="10"/>
      <c r="X169" s="10"/>
      <c r="Y169" s="10"/>
      <c r="Z169" s="10"/>
      <c r="AA169" s="10"/>
      <c r="AB169" s="10"/>
      <c r="AC169" s="10"/>
      <c r="AD169" s="10"/>
      <c r="AE169" s="10"/>
      <c r="AF169" s="10"/>
      <c r="AG169" s="10"/>
      <c r="AH169" s="10"/>
      <c r="AI169" s="10"/>
      <c r="AJ169" s="10"/>
      <c r="AK169" s="10"/>
      <c r="AL169" s="10"/>
    </row>
    <row r="170" spans="1:38" ht="13.5" customHeight="1" x14ac:dyDescent="0.25">
      <c r="A170" s="10"/>
      <c r="B170" s="224"/>
      <c r="C170" s="32" t="s">
        <v>229</v>
      </c>
      <c r="D170" s="52" t="e">
        <f>IF(D161&lt;&gt;0,(100-D161)/100*D147/D138+D141,D141+D147/D138)</f>
        <v>#DIV/0!</v>
      </c>
      <c r="E170" s="32" t="s">
        <v>202</v>
      </c>
      <c r="F170" s="99"/>
      <c r="G170" s="134"/>
      <c r="H170" s="134"/>
      <c r="I170" s="10"/>
      <c r="J170" s="10"/>
      <c r="K170" s="10"/>
      <c r="P170" s="10"/>
      <c r="Q170" s="10"/>
      <c r="R170" s="10"/>
      <c r="S170" s="10"/>
      <c r="W170" s="10"/>
      <c r="X170" s="10"/>
      <c r="Y170" s="10"/>
      <c r="Z170" s="10"/>
      <c r="AA170" s="10"/>
      <c r="AB170" s="10"/>
      <c r="AC170" s="10"/>
      <c r="AD170" s="10"/>
      <c r="AE170" s="10"/>
      <c r="AF170" s="10"/>
      <c r="AG170" s="10"/>
      <c r="AH170" s="10"/>
      <c r="AI170" s="10"/>
      <c r="AJ170" s="10"/>
      <c r="AK170" s="10"/>
      <c r="AL170" s="10"/>
    </row>
    <row r="171" spans="1:38" ht="13.5" customHeight="1" x14ac:dyDescent="0.25">
      <c r="A171" s="10"/>
      <c r="B171" s="224"/>
      <c r="C171" s="32" t="s">
        <v>230</v>
      </c>
      <c r="D171" s="55" t="e">
        <f>IF(D161&lt;&gt;0,(100-D161*0.95)/100*D158/D138+D140,MAX(D169*D158/D138,D140))</f>
        <v>#DIV/0!</v>
      </c>
      <c r="E171" s="32" t="s">
        <v>202</v>
      </c>
      <c r="F171" s="99"/>
      <c r="G171" s="134"/>
      <c r="H171" s="134"/>
      <c r="I171" s="10"/>
      <c r="J171" s="10"/>
      <c r="K171" s="10"/>
      <c r="P171" s="10"/>
      <c r="Q171" s="10"/>
      <c r="R171" s="10"/>
      <c r="S171" s="10"/>
      <c r="W171" s="10"/>
      <c r="X171" s="10"/>
      <c r="Y171" s="10"/>
      <c r="Z171" s="10"/>
      <c r="AA171" s="10"/>
      <c r="AB171" s="10"/>
      <c r="AC171" s="10"/>
      <c r="AD171" s="10"/>
      <c r="AE171" s="10"/>
      <c r="AF171" s="10"/>
      <c r="AG171" s="10"/>
      <c r="AH171" s="10"/>
      <c r="AI171" s="10"/>
      <c r="AJ171" s="10"/>
      <c r="AK171" s="10"/>
      <c r="AL171" s="10"/>
    </row>
    <row r="172" spans="1:38" ht="13.5" customHeight="1" x14ac:dyDescent="0.25">
      <c r="A172" s="10"/>
      <c r="B172" s="225"/>
      <c r="C172" s="32" t="s">
        <v>231</v>
      </c>
      <c r="D172" s="155" t="e">
        <f>0.34*($D$132-$D$123)*D138*D171*$D$124*24/1000</f>
        <v>#DIV/0!</v>
      </c>
      <c r="E172" s="32" t="s">
        <v>178</v>
      </c>
      <c r="F172" s="99"/>
      <c r="G172" s="134"/>
      <c r="H172" s="134"/>
      <c r="I172" s="10"/>
      <c r="J172" s="10"/>
      <c r="K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row>
    <row r="173" spans="1:38" ht="13.5" customHeight="1" x14ac:dyDescent="0.25">
      <c r="A173" s="10"/>
      <c r="E173" s="32"/>
      <c r="F173" s="99"/>
      <c r="G173" s="134"/>
      <c r="H173" s="134"/>
      <c r="I173" s="10"/>
      <c r="J173" s="10"/>
      <c r="K173" s="88"/>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row>
    <row r="174" spans="1:38" ht="13.5" customHeight="1" x14ac:dyDescent="0.25">
      <c r="A174" s="10"/>
      <c r="B174" s="222" t="s">
        <v>120</v>
      </c>
      <c r="C174" s="41" t="s">
        <v>252</v>
      </c>
      <c r="D174" s="32"/>
      <c r="E174" s="10"/>
      <c r="F174" s="39"/>
      <c r="H174" s="10"/>
      <c r="I174" s="10"/>
      <c r="J174" s="10"/>
      <c r="K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row>
    <row r="175" spans="1:38" ht="13.5" customHeight="1" x14ac:dyDescent="0.25">
      <c r="A175" s="10"/>
      <c r="B175" s="223"/>
      <c r="C175" s="32" t="s">
        <v>253</v>
      </c>
      <c r="D175" s="159" t="str">
        <f>'Situation initiale'!D189</f>
        <v>Commerces et bureaux</v>
      </c>
      <c r="E175" s="10"/>
      <c r="F175" s="39"/>
      <c r="H175" s="10"/>
      <c r="I175" s="10"/>
      <c r="J175" s="10"/>
      <c r="K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row>
    <row r="176" spans="1:38" ht="13.5" customHeight="1" x14ac:dyDescent="0.25">
      <c r="A176" s="10"/>
      <c r="B176" s="224"/>
      <c r="C176" s="32" t="s">
        <v>255</v>
      </c>
      <c r="D176" s="159">
        <f>'Situation initiale'!D190</f>
        <v>0</v>
      </c>
      <c r="E176" s="10" t="s">
        <v>256</v>
      </c>
      <c r="F176" s="39"/>
      <c r="H176" s="10"/>
      <c r="I176" s="10"/>
      <c r="J176" s="10"/>
      <c r="K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row>
    <row r="177" spans="1:38" ht="13.5" customHeight="1" x14ac:dyDescent="0.25">
      <c r="A177" s="10"/>
      <c r="B177" s="224"/>
      <c r="C177" s="32" t="s">
        <v>257</v>
      </c>
      <c r="D177" s="155">
        <f>VLOOKUP(D175,Données!$A$20:$C$24,3,0)*D176*D124*24/1000</f>
        <v>0</v>
      </c>
      <c r="E177" s="10" t="s">
        <v>178</v>
      </c>
      <c r="F177" s="39"/>
      <c r="H177" s="10"/>
      <c r="I177" s="10"/>
      <c r="J177" s="10"/>
      <c r="K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row>
    <row r="178" spans="1:38" ht="13.5" customHeight="1" x14ac:dyDescent="0.25">
      <c r="A178" s="10"/>
      <c r="B178" s="224"/>
      <c r="C178" s="32" t="s">
        <v>258</v>
      </c>
      <c r="D178" s="52">
        <f>SUMPRODUCT(D152:D155,E152:E155)/24*D157/7</f>
        <v>0</v>
      </c>
      <c r="E178" s="10" t="s">
        <v>259</v>
      </c>
      <c r="F178" s="39"/>
      <c r="H178" s="10"/>
      <c r="I178" s="10"/>
      <c r="J178" s="10"/>
      <c r="K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row>
    <row r="179" spans="1:38" ht="13.5" customHeight="1" x14ac:dyDescent="0.25">
      <c r="A179" s="10"/>
      <c r="B179" s="224"/>
      <c r="C179" s="32" t="s">
        <v>260</v>
      </c>
      <c r="D179" s="155">
        <f>VLOOKUP(D175,Données!$A$20:$B$24,2,0)*D178*D124*24/1000</f>
        <v>0</v>
      </c>
      <c r="E179" s="10" t="s">
        <v>178</v>
      </c>
      <c r="F179" s="39"/>
      <c r="H179" s="10"/>
      <c r="I179" s="10"/>
      <c r="J179" s="10"/>
      <c r="K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row>
    <row r="180" spans="1:38" ht="13.5" customHeight="1" x14ac:dyDescent="0.25">
      <c r="A180" s="10"/>
      <c r="B180" s="224"/>
      <c r="C180" s="32" t="s">
        <v>252</v>
      </c>
      <c r="D180" s="155">
        <f>D179+D177</f>
        <v>0</v>
      </c>
      <c r="E180" s="10" t="s">
        <v>178</v>
      </c>
      <c r="F180" s="39"/>
      <c r="H180" s="10"/>
      <c r="I180" s="10"/>
      <c r="J180" s="10"/>
      <c r="K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row>
    <row r="181" spans="1:38" ht="13.5" customHeight="1" x14ac:dyDescent="0.25">
      <c r="A181" s="10"/>
      <c r="B181" s="224"/>
      <c r="C181" s="32"/>
      <c r="D181" s="32"/>
      <c r="E181" s="10"/>
      <c r="F181" s="39"/>
      <c r="H181" s="10"/>
      <c r="I181" s="10"/>
      <c r="J181" s="10"/>
      <c r="K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row>
    <row r="182" spans="1:38" ht="13.5" customHeight="1" x14ac:dyDescent="0.25">
      <c r="A182" s="10"/>
      <c r="B182" s="224"/>
      <c r="C182" s="41" t="s">
        <v>45</v>
      </c>
      <c r="D182" s="32"/>
      <c r="E182" s="10"/>
      <c r="F182" s="39"/>
      <c r="H182" s="10"/>
      <c r="I182" s="10"/>
      <c r="J182" s="10"/>
      <c r="K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row>
    <row r="183" spans="1:38" ht="13.5" customHeight="1" x14ac:dyDescent="0.25">
      <c r="A183" s="10"/>
      <c r="B183" s="225"/>
      <c r="C183" s="32" t="s">
        <v>261</v>
      </c>
      <c r="D183" s="155">
        <f>SUM(R15:R57)</f>
        <v>0</v>
      </c>
      <c r="E183" s="10" t="s">
        <v>262</v>
      </c>
      <c r="F183" s="39"/>
      <c r="H183" s="10"/>
      <c r="I183" s="10"/>
      <c r="J183" s="10"/>
      <c r="K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row>
    <row r="184" spans="1:38" ht="13.5" customHeight="1" x14ac:dyDescent="0.25">
      <c r="A184" s="10"/>
      <c r="C184" s="32"/>
      <c r="D184" s="32"/>
      <c r="E184" s="10"/>
      <c r="F184" s="39"/>
      <c r="H184" s="10"/>
      <c r="I184" s="10"/>
      <c r="J184" s="10"/>
      <c r="K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row>
    <row r="185" spans="1:38" x14ac:dyDescent="0.25">
      <c r="A185" s="10"/>
      <c r="B185" s="10"/>
      <c r="C185" s="10"/>
      <c r="D185" s="10"/>
      <c r="E185" s="10"/>
      <c r="F185" s="10"/>
      <c r="G185" s="32"/>
      <c r="H185" s="10"/>
      <c r="I185" s="10"/>
      <c r="J185" s="10"/>
      <c r="K185" s="10"/>
      <c r="P185" s="50"/>
      <c r="Q185" s="10"/>
      <c r="R185" s="10"/>
      <c r="S185" s="10"/>
      <c r="T185" s="10"/>
      <c r="U185" s="10"/>
      <c r="V185" s="10"/>
      <c r="W185" s="10"/>
      <c r="X185" s="10"/>
      <c r="Y185" s="10"/>
      <c r="Z185" s="10"/>
      <c r="AA185" s="10"/>
      <c r="AB185" s="10"/>
      <c r="AC185" s="10"/>
      <c r="AD185" s="10"/>
      <c r="AE185" s="10"/>
      <c r="AF185" s="10"/>
      <c r="AG185" s="10"/>
      <c r="AH185" s="10"/>
      <c r="AI185" s="10"/>
      <c r="AJ185" s="10"/>
      <c r="AK185" s="10"/>
      <c r="AL185" s="10"/>
    </row>
    <row r="186" spans="1:38" x14ac:dyDescent="0.25">
      <c r="A186" s="10"/>
      <c r="B186" s="222" t="s">
        <v>132</v>
      </c>
      <c r="C186" s="41" t="s">
        <v>263</v>
      </c>
      <c r="D186" s="10"/>
      <c r="E186" s="10"/>
      <c r="F186" s="10"/>
      <c r="G186" s="10"/>
      <c r="H186" s="10"/>
      <c r="I186" s="10"/>
      <c r="J186" s="10"/>
      <c r="K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row>
    <row r="187" spans="1:38" x14ac:dyDescent="0.25">
      <c r="A187" s="10"/>
      <c r="B187" s="224"/>
      <c r="C187" s="32" t="s">
        <v>264</v>
      </c>
      <c r="D187" s="132" t="e">
        <f>0.34*D170*D138*(D129-D121)/1000</f>
        <v>#DIV/0!</v>
      </c>
      <c r="E187" s="10" t="s">
        <v>265</v>
      </c>
      <c r="F187" s="32"/>
      <c r="H187" s="10"/>
      <c r="I187" s="10"/>
      <c r="J187" s="10"/>
      <c r="K187" s="37"/>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row>
    <row r="188" spans="1:38" x14ac:dyDescent="0.25">
      <c r="A188" s="10"/>
      <c r="B188" s="224"/>
      <c r="C188" s="32" t="s">
        <v>266</v>
      </c>
      <c r="D188" s="132">
        <f>+D110*(D129-D121)/1000</f>
        <v>0</v>
      </c>
      <c r="E188" s="10" t="s">
        <v>265</v>
      </c>
      <c r="F188" s="32"/>
      <c r="G188" s="10"/>
      <c r="H188" s="10"/>
      <c r="I188" s="10"/>
      <c r="J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row>
    <row r="189" spans="1:38" x14ac:dyDescent="0.25">
      <c r="A189" s="10"/>
      <c r="B189" s="226"/>
      <c r="C189" s="32" t="s">
        <v>267</v>
      </c>
      <c r="D189" s="132" t="e">
        <f>(+D188+D187)</f>
        <v>#DIV/0!</v>
      </c>
      <c r="E189" s="10" t="s">
        <v>265</v>
      </c>
      <c r="F189" s="32" t="s">
        <v>268</v>
      </c>
      <c r="G189" s="10"/>
      <c r="H189" s="10"/>
      <c r="I189" s="10"/>
      <c r="J189" s="10"/>
      <c r="K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row>
    <row r="190" spans="1:38" x14ac:dyDescent="0.25">
      <c r="A190" s="10"/>
      <c r="B190" s="10"/>
      <c r="C190" s="10"/>
      <c r="D190" s="10"/>
      <c r="E190" s="10"/>
      <c r="F190" s="32"/>
      <c r="G190" s="10"/>
      <c r="H190" s="10"/>
      <c r="I190" s="10"/>
      <c r="J190" s="10"/>
      <c r="K190" s="10"/>
      <c r="L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row>
    <row r="191" spans="1:38" x14ac:dyDescent="0.25">
      <c r="A191" s="10"/>
      <c r="B191" s="10"/>
      <c r="C191" s="10"/>
      <c r="D191" s="10"/>
      <c r="E191" s="10"/>
      <c r="F191" s="32"/>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row>
    <row r="192" spans="1:38" x14ac:dyDescent="0.25">
      <c r="A192" s="10"/>
      <c r="B192" s="222" t="s">
        <v>136</v>
      </c>
      <c r="C192" s="41" t="s">
        <v>269</v>
      </c>
      <c r="D192" s="10"/>
      <c r="E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row>
    <row r="193" spans="1:38" ht="21" customHeight="1" x14ac:dyDescent="0.25">
      <c r="A193" s="10"/>
      <c r="B193" s="223"/>
      <c r="C193" s="26" t="s">
        <v>384</v>
      </c>
      <c r="D193" s="16"/>
      <c r="E193" s="10" t="s">
        <v>224</v>
      </c>
      <c r="F193" s="10"/>
      <c r="G193" s="10"/>
      <c r="H193" s="10"/>
      <c r="I193" s="10"/>
      <c r="J193" s="10"/>
      <c r="K193" s="10"/>
      <c r="L193" s="10"/>
      <c r="M193" s="10"/>
      <c r="N193" s="10"/>
      <c r="O193" s="10"/>
      <c r="P193" s="10"/>
      <c r="Q193" s="10"/>
      <c r="T193" s="35" t="s">
        <v>335</v>
      </c>
      <c r="U193" s="35" t="s">
        <v>336</v>
      </c>
      <c r="V193" s="35" t="s">
        <v>337</v>
      </c>
      <c r="W193" s="10"/>
      <c r="X193" s="10"/>
      <c r="Y193" s="10"/>
      <c r="Z193" s="10"/>
      <c r="AA193" s="10"/>
      <c r="AB193" s="10"/>
      <c r="AC193" s="10"/>
      <c r="AD193" s="10"/>
      <c r="AE193" s="10"/>
      <c r="AF193" s="10"/>
      <c r="AG193" s="10"/>
      <c r="AH193" s="10"/>
      <c r="AI193" s="10"/>
      <c r="AJ193" s="10"/>
      <c r="AK193" s="10"/>
      <c r="AL193" s="10"/>
    </row>
    <row r="194" spans="1:38" x14ac:dyDescent="0.25">
      <c r="A194" s="10"/>
      <c r="B194" s="223"/>
      <c r="C194" s="32" t="s">
        <v>270</v>
      </c>
      <c r="D194" s="242" t="s">
        <v>385</v>
      </c>
      <c r="E194" s="243"/>
      <c r="F194" s="244"/>
      <c r="H194" s="10"/>
      <c r="I194" s="10"/>
      <c r="J194" s="10"/>
      <c r="K194" s="10"/>
      <c r="L194" s="10"/>
      <c r="M194" s="10"/>
      <c r="N194" s="10"/>
      <c r="O194" s="10"/>
      <c r="P194" s="10"/>
      <c r="Q194" s="10"/>
      <c r="R194" s="10"/>
      <c r="T194" s="155" t="e">
        <f>pertes_chau_init/(deperd_init+pertes_chau_init)*conso_init-pertes_chau_reno/(deperd_init+pertes_chau_init)*conso_reno</f>
        <v>#DIV/0!</v>
      </c>
      <c r="U194" s="18" t="e">
        <f>T194*cout_vect</f>
        <v>#DIV/0!</v>
      </c>
      <c r="V194" s="18" t="e">
        <f>D193/U194</f>
        <v>#DIV/0!</v>
      </c>
      <c r="W194" s="10"/>
      <c r="X194" s="10"/>
      <c r="Y194" s="10"/>
      <c r="Z194" s="10"/>
      <c r="AA194" s="10"/>
      <c r="AB194" s="10"/>
      <c r="AC194" s="10"/>
      <c r="AD194" s="10"/>
      <c r="AE194" s="10"/>
      <c r="AF194" s="10"/>
      <c r="AG194" s="10"/>
      <c r="AH194" s="10"/>
      <c r="AI194" s="10"/>
      <c r="AJ194" s="10"/>
      <c r="AK194" s="10"/>
      <c r="AL194" s="10"/>
    </row>
    <row r="195" spans="1:38" x14ac:dyDescent="0.25">
      <c r="A195" s="10"/>
      <c r="B195" s="223"/>
      <c r="C195" s="32" t="s">
        <v>276</v>
      </c>
      <c r="D195" s="135">
        <f>IF(D194='Situation initiale'!D208,VLOOKUP(D194,Données!A59:C73,2,0),VLOOKUP(D194,Données!A59:C73,3,0))</f>
        <v>0.99</v>
      </c>
      <c r="E195" s="99"/>
      <c r="F195" s="99"/>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row>
    <row r="196" spans="1:38" x14ac:dyDescent="0.25">
      <c r="A196" s="10"/>
      <c r="B196" s="223"/>
      <c r="C196" s="32" t="s">
        <v>277</v>
      </c>
      <c r="D196" s="100" t="s">
        <v>278</v>
      </c>
      <c r="E196" s="99"/>
      <c r="F196" s="99"/>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row>
    <row r="197" spans="1:38" x14ac:dyDescent="0.25">
      <c r="A197" s="10"/>
      <c r="B197" s="223"/>
      <c r="C197" s="32" t="s">
        <v>279</v>
      </c>
      <c r="D197" s="135">
        <f>VLOOKUP(D196,Données!A76:B79,2,0)</f>
        <v>0.98</v>
      </c>
      <c r="E197" s="99"/>
      <c r="F197" s="99"/>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row>
    <row r="198" spans="1:38" x14ac:dyDescent="0.25">
      <c r="A198" s="10"/>
      <c r="B198" s="223"/>
      <c r="C198" s="32" t="s">
        <v>280</v>
      </c>
      <c r="D198" s="100" t="s">
        <v>386</v>
      </c>
      <c r="E198" s="99"/>
      <c r="F198" s="99"/>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row>
    <row r="199" spans="1:38" x14ac:dyDescent="0.25">
      <c r="A199" s="10"/>
      <c r="B199" s="223"/>
      <c r="C199" s="32" t="s">
        <v>282</v>
      </c>
      <c r="D199" s="135">
        <f>VLOOKUP(D198,Données!A82:B84,2,0)</f>
        <v>0.98</v>
      </c>
      <c r="E199" s="99"/>
      <c r="F199" s="99"/>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row>
    <row r="200" spans="1:38" x14ac:dyDescent="0.25">
      <c r="A200" s="10"/>
      <c r="B200" s="223"/>
      <c r="C200" s="32" t="s">
        <v>283</v>
      </c>
      <c r="D200" s="100" t="s">
        <v>387</v>
      </c>
      <c r="E200" s="99"/>
      <c r="F200" s="99"/>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row>
    <row r="201" spans="1:38" x14ac:dyDescent="0.25">
      <c r="A201" s="10"/>
      <c r="B201" s="223"/>
      <c r="C201" s="32" t="s">
        <v>285</v>
      </c>
      <c r="D201" s="135">
        <f>VLOOKUP(D200,Données!A87:B89,2,0)</f>
        <v>0.95</v>
      </c>
      <c r="E201" s="99"/>
      <c r="F201" s="99"/>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row>
    <row r="202" spans="1:38" x14ac:dyDescent="0.25">
      <c r="A202" s="10"/>
      <c r="B202" s="247"/>
      <c r="C202" s="32" t="s">
        <v>286</v>
      </c>
      <c r="D202" s="181">
        <f>D195*D197*D199*D201</f>
        <v>0.90325619999999995</v>
      </c>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row>
    <row r="203" spans="1:38" x14ac:dyDescent="0.25">
      <c r="A203" s="10"/>
      <c r="B203" s="10"/>
      <c r="C203" s="32"/>
      <c r="D203" s="34"/>
      <c r="E203" s="32"/>
      <c r="F203" s="32"/>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row>
    <row r="204" spans="1:38" x14ac:dyDescent="0.25">
      <c r="A204" s="10"/>
      <c r="B204" s="10"/>
      <c r="C204" s="32"/>
      <c r="D204" s="34"/>
      <c r="E204" s="32"/>
      <c r="F204" s="32"/>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row>
    <row r="205" spans="1:38" x14ac:dyDescent="0.25">
      <c r="A205" s="10"/>
      <c r="B205" s="10"/>
      <c r="C205" s="32"/>
      <c r="D205" s="34"/>
      <c r="E205" s="32"/>
      <c r="F205" s="32"/>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row>
    <row r="206" spans="1:38" ht="18" customHeight="1" x14ac:dyDescent="0.35">
      <c r="A206" s="32"/>
      <c r="B206" s="24" t="s">
        <v>287</v>
      </c>
      <c r="C206" s="24" t="s">
        <v>288</v>
      </c>
      <c r="D206" s="208" t="s">
        <v>388</v>
      </c>
      <c r="E206" s="10"/>
      <c r="F206" s="97"/>
      <c r="G206" s="26"/>
      <c r="H206" s="10"/>
      <c r="I206" s="10"/>
      <c r="J206" s="10"/>
      <c r="K206" s="10"/>
      <c r="L206" s="10"/>
      <c r="M206" s="10"/>
      <c r="N206" s="10"/>
      <c r="O206" s="10"/>
      <c r="P206" s="208" t="s">
        <v>389</v>
      </c>
      <c r="Q206" s="10"/>
      <c r="R206" s="10"/>
      <c r="S206" s="10"/>
      <c r="T206" s="10"/>
      <c r="U206" s="10"/>
      <c r="V206" s="10"/>
      <c r="W206" s="10"/>
      <c r="X206" s="10"/>
      <c r="Y206" s="10"/>
      <c r="Z206" s="10"/>
      <c r="AA206" s="10"/>
      <c r="AB206" s="10"/>
      <c r="AC206" s="10"/>
      <c r="AD206" s="10"/>
      <c r="AE206" s="10"/>
      <c r="AF206" s="10"/>
      <c r="AG206" s="10"/>
      <c r="AH206" s="10"/>
      <c r="AI206" s="10"/>
      <c r="AJ206" s="10"/>
    </row>
    <row r="207" spans="1:38" x14ac:dyDescent="0.25">
      <c r="A207" s="10"/>
      <c r="B207" s="102"/>
      <c r="C207" s="32"/>
      <c r="D207" s="34"/>
      <c r="E207" s="32"/>
      <c r="F207" s="32"/>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row>
    <row r="208" spans="1:38" ht="39" x14ac:dyDescent="0.3">
      <c r="A208" s="10"/>
      <c r="B208" s="102"/>
      <c r="C208" s="27"/>
      <c r="D208" s="176" t="s">
        <v>290</v>
      </c>
      <c r="E208" s="176" t="s">
        <v>291</v>
      </c>
      <c r="F208" s="176" t="s">
        <v>390</v>
      </c>
      <c r="G208" s="176" t="s">
        <v>293</v>
      </c>
      <c r="H208" s="176" t="s">
        <v>391</v>
      </c>
      <c r="J208" s="99"/>
      <c r="K208" s="10"/>
      <c r="L208" s="10"/>
      <c r="M208" s="10"/>
      <c r="N208" s="10"/>
      <c r="O208" s="10"/>
      <c r="P208" s="27" t="s">
        <v>350</v>
      </c>
      <c r="Q208" s="27" t="s">
        <v>351</v>
      </c>
      <c r="R208" s="27" t="s">
        <v>352</v>
      </c>
      <c r="S208" s="27" t="s">
        <v>353</v>
      </c>
      <c r="T208" s="27" t="s">
        <v>354</v>
      </c>
      <c r="U208" s="27" t="s">
        <v>355</v>
      </c>
      <c r="V208" s="27" t="s">
        <v>356</v>
      </c>
      <c r="W208" s="27" t="s">
        <v>357</v>
      </c>
      <c r="X208" s="27" t="s">
        <v>358</v>
      </c>
      <c r="Y208" s="27" t="s">
        <v>359</v>
      </c>
      <c r="Z208" s="27" t="s">
        <v>360</v>
      </c>
      <c r="AA208" s="27" t="s">
        <v>361</v>
      </c>
      <c r="AB208" s="27" t="s">
        <v>362</v>
      </c>
      <c r="AC208" s="10"/>
      <c r="AD208" s="10"/>
      <c r="AE208" s="10"/>
      <c r="AF208" s="10"/>
      <c r="AG208" s="10"/>
      <c r="AH208" s="10"/>
      <c r="AI208" s="10"/>
      <c r="AJ208" s="10"/>
    </row>
    <row r="209" spans="1:36" x14ac:dyDescent="0.25">
      <c r="A209" s="10"/>
      <c r="B209" s="102"/>
      <c r="C209" s="10" t="s">
        <v>296</v>
      </c>
      <c r="D209" s="155" t="e">
        <f>P209</f>
        <v>#DIV/0!</v>
      </c>
      <c r="E209" s="155" t="e">
        <f>$D$180*D209/deperd_reno</f>
        <v>#DIV/0!</v>
      </c>
      <c r="F209" s="155" t="e">
        <f>D209-E209</f>
        <v>#DIV/0!</v>
      </c>
      <c r="G209" s="137" t="e">
        <f t="shared" ref="G209:G215" si="11">F209/conso_reno</f>
        <v>#DIV/0!</v>
      </c>
      <c r="H209" s="155" t="e">
        <f t="shared" ref="H209:H214" si="12">F209/$D$202</f>
        <v>#DIV/0!</v>
      </c>
      <c r="K209" s="32"/>
      <c r="N209" s="10"/>
      <c r="O209" s="10"/>
      <c r="P209" s="155" t="e">
        <f t="shared" ref="P209:P214" si="13">SUM(Q209:AB209)</f>
        <v>#DIV/0!</v>
      </c>
      <c r="Q209" s="155" t="e">
        <f t="shared" ref="Q209:AB209" si="14">+$O$69*($D132-Q$123)*Q$124*24/(1000)</f>
        <v>#DIV/0!</v>
      </c>
      <c r="R209" s="155" t="e">
        <f t="shared" si="14"/>
        <v>#DIV/0!</v>
      </c>
      <c r="S209" s="155" t="e">
        <f t="shared" si="14"/>
        <v>#DIV/0!</v>
      </c>
      <c r="T209" s="155" t="e">
        <f t="shared" si="14"/>
        <v>#DIV/0!</v>
      </c>
      <c r="U209" s="155" t="e">
        <f t="shared" si="14"/>
        <v>#DIV/0!</v>
      </c>
      <c r="V209" s="155" t="e">
        <f t="shared" si="14"/>
        <v>#DIV/0!</v>
      </c>
      <c r="W209" s="155" t="e">
        <f t="shared" si="14"/>
        <v>#DIV/0!</v>
      </c>
      <c r="X209" s="155" t="e">
        <f t="shared" si="14"/>
        <v>#DIV/0!</v>
      </c>
      <c r="Y209" s="155" t="e">
        <f t="shared" si="14"/>
        <v>#DIV/0!</v>
      </c>
      <c r="Z209" s="155" t="e">
        <f t="shared" si="14"/>
        <v>#DIV/0!</v>
      </c>
      <c r="AA209" s="155" t="e">
        <f t="shared" si="14"/>
        <v>#DIV/0!</v>
      </c>
      <c r="AB209" s="155" t="e">
        <f t="shared" si="14"/>
        <v>#DIV/0!</v>
      </c>
      <c r="AC209" s="10"/>
      <c r="AD209" s="10"/>
      <c r="AE209" s="10"/>
      <c r="AF209" s="10"/>
      <c r="AG209" s="10"/>
      <c r="AH209" s="10"/>
      <c r="AI209" s="10"/>
      <c r="AJ209" s="10"/>
    </row>
    <row r="210" spans="1:36" x14ac:dyDescent="0.25">
      <c r="A210" s="10"/>
      <c r="B210" s="102"/>
      <c r="C210" s="10" t="s">
        <v>297</v>
      </c>
      <c r="D210" s="155" t="e">
        <f t="shared" ref="D210:D214" si="15">P210</f>
        <v>#DIV/0!</v>
      </c>
      <c r="E210" s="155" t="e">
        <f>$D$180*D210/deperd_reno</f>
        <v>#DIV/0!</v>
      </c>
      <c r="F210" s="155" t="e">
        <f t="shared" ref="F210:F215" si="16">D210-E210</f>
        <v>#DIV/0!</v>
      </c>
      <c r="G210" s="137" t="e">
        <f t="shared" si="11"/>
        <v>#DIV/0!</v>
      </c>
      <c r="H210" s="155" t="e">
        <f t="shared" si="12"/>
        <v>#DIV/0!</v>
      </c>
      <c r="K210" s="32"/>
      <c r="N210" s="10"/>
      <c r="O210" s="10"/>
      <c r="P210" s="155" t="e">
        <f t="shared" si="13"/>
        <v>#DIV/0!</v>
      </c>
      <c r="Q210" s="155" t="e">
        <f t="shared" ref="Q210:AB210" si="17">+($O$59+$O$87+$O$89)*($D132-Q$123)*Q$124*24/(1000)</f>
        <v>#DIV/0!</v>
      </c>
      <c r="R210" s="155" t="e">
        <f t="shared" si="17"/>
        <v>#DIV/0!</v>
      </c>
      <c r="S210" s="155" t="e">
        <f t="shared" si="17"/>
        <v>#DIV/0!</v>
      </c>
      <c r="T210" s="155" t="e">
        <f t="shared" si="17"/>
        <v>#DIV/0!</v>
      </c>
      <c r="U210" s="155" t="e">
        <f t="shared" si="17"/>
        <v>#DIV/0!</v>
      </c>
      <c r="V210" s="155" t="e">
        <f t="shared" si="17"/>
        <v>#DIV/0!</v>
      </c>
      <c r="W210" s="155" t="e">
        <f t="shared" si="17"/>
        <v>#DIV/0!</v>
      </c>
      <c r="X210" s="155" t="e">
        <f t="shared" si="17"/>
        <v>#DIV/0!</v>
      </c>
      <c r="Y210" s="155" t="e">
        <f t="shared" si="17"/>
        <v>#DIV/0!</v>
      </c>
      <c r="Z210" s="155" t="e">
        <f t="shared" si="17"/>
        <v>#DIV/0!</v>
      </c>
      <c r="AA210" s="155" t="e">
        <f t="shared" si="17"/>
        <v>#DIV/0!</v>
      </c>
      <c r="AB210" s="155" t="e">
        <f t="shared" si="17"/>
        <v>#DIV/0!</v>
      </c>
      <c r="AC210" s="10"/>
      <c r="AD210" s="10"/>
      <c r="AE210" s="10"/>
      <c r="AF210" s="10"/>
      <c r="AG210" s="10"/>
      <c r="AH210" s="10"/>
      <c r="AI210" s="10"/>
      <c r="AJ210" s="10"/>
    </row>
    <row r="211" spans="1:36" x14ac:dyDescent="0.25">
      <c r="A211" s="10"/>
      <c r="B211" s="102"/>
      <c r="C211" s="10" t="s">
        <v>298</v>
      </c>
      <c r="D211" s="155" t="e">
        <f t="shared" si="15"/>
        <v>#DIV/0!</v>
      </c>
      <c r="E211" s="155" t="e">
        <f>$D$180*D211/deperd_reno+D183</f>
        <v>#DIV/0!</v>
      </c>
      <c r="F211" s="155" t="e">
        <f t="shared" si="16"/>
        <v>#DIV/0!</v>
      </c>
      <c r="G211" s="137" t="e">
        <f t="shared" si="11"/>
        <v>#DIV/0!</v>
      </c>
      <c r="H211" s="155" t="e">
        <f t="shared" si="12"/>
        <v>#DIV/0!</v>
      </c>
      <c r="K211" s="32"/>
      <c r="N211" s="10"/>
      <c r="O211" s="10"/>
      <c r="P211" s="155" t="e">
        <f t="shared" si="13"/>
        <v>#DIV/0!</v>
      </c>
      <c r="Q211" s="155" t="e">
        <f t="shared" ref="Q211:AB211" si="18">+($O$15+$O$55)*($D132-Q$123)*Q$124*24/(1000)</f>
        <v>#DIV/0!</v>
      </c>
      <c r="R211" s="155" t="e">
        <f t="shared" si="18"/>
        <v>#DIV/0!</v>
      </c>
      <c r="S211" s="155" t="e">
        <f t="shared" si="18"/>
        <v>#DIV/0!</v>
      </c>
      <c r="T211" s="155" t="e">
        <f t="shared" si="18"/>
        <v>#DIV/0!</v>
      </c>
      <c r="U211" s="155" t="e">
        <f t="shared" si="18"/>
        <v>#DIV/0!</v>
      </c>
      <c r="V211" s="155" t="e">
        <f t="shared" si="18"/>
        <v>#DIV/0!</v>
      </c>
      <c r="W211" s="155" t="e">
        <f t="shared" si="18"/>
        <v>#DIV/0!</v>
      </c>
      <c r="X211" s="155" t="e">
        <f t="shared" si="18"/>
        <v>#DIV/0!</v>
      </c>
      <c r="Y211" s="155" t="e">
        <f t="shared" si="18"/>
        <v>#DIV/0!</v>
      </c>
      <c r="Z211" s="155" t="e">
        <f t="shared" si="18"/>
        <v>#DIV/0!</v>
      </c>
      <c r="AA211" s="155" t="e">
        <f t="shared" si="18"/>
        <v>#DIV/0!</v>
      </c>
      <c r="AB211" s="155" t="e">
        <f t="shared" si="18"/>
        <v>#DIV/0!</v>
      </c>
      <c r="AC211" s="10"/>
      <c r="AD211" s="10"/>
      <c r="AE211" s="10"/>
      <c r="AF211" s="10"/>
      <c r="AG211" s="10"/>
      <c r="AH211" s="10"/>
      <c r="AI211" s="10"/>
      <c r="AJ211" s="10"/>
    </row>
    <row r="212" spans="1:36" x14ac:dyDescent="0.25">
      <c r="A212" s="10"/>
      <c r="B212" s="102"/>
      <c r="C212" s="10" t="s">
        <v>299</v>
      </c>
      <c r="D212" s="155" t="e">
        <f t="shared" si="15"/>
        <v>#DIV/0!</v>
      </c>
      <c r="E212" s="155" t="e">
        <f>$D$180*D212/deperd_reno</f>
        <v>#DIV/0!</v>
      </c>
      <c r="F212" s="155" t="e">
        <f t="shared" si="16"/>
        <v>#DIV/0!</v>
      </c>
      <c r="G212" s="137" t="e">
        <f t="shared" si="11"/>
        <v>#DIV/0!</v>
      </c>
      <c r="H212" s="155" t="e">
        <f t="shared" si="12"/>
        <v>#DIV/0!</v>
      </c>
      <c r="K212" s="32"/>
      <c r="N212" s="10"/>
      <c r="O212" s="10"/>
      <c r="P212" s="155" t="e">
        <f t="shared" si="13"/>
        <v>#DIV/0!</v>
      </c>
      <c r="Q212" s="155" t="e">
        <f t="shared" ref="Q212:AB212" si="19">+($O$79+$O$81+$O$83+$O$85)*($D132-Q$123)*Q$124*24/(1000)</f>
        <v>#DIV/0!</v>
      </c>
      <c r="R212" s="155" t="e">
        <f t="shared" si="19"/>
        <v>#DIV/0!</v>
      </c>
      <c r="S212" s="155" t="e">
        <f t="shared" si="19"/>
        <v>#DIV/0!</v>
      </c>
      <c r="T212" s="155" t="e">
        <f t="shared" si="19"/>
        <v>#DIV/0!</v>
      </c>
      <c r="U212" s="155" t="e">
        <f t="shared" si="19"/>
        <v>#DIV/0!</v>
      </c>
      <c r="V212" s="155" t="e">
        <f t="shared" si="19"/>
        <v>#DIV/0!</v>
      </c>
      <c r="W212" s="155" t="e">
        <f t="shared" si="19"/>
        <v>#DIV/0!</v>
      </c>
      <c r="X212" s="155" t="e">
        <f t="shared" si="19"/>
        <v>#DIV/0!</v>
      </c>
      <c r="Y212" s="155" t="e">
        <f t="shared" si="19"/>
        <v>#DIV/0!</v>
      </c>
      <c r="Z212" s="155" t="e">
        <f t="shared" si="19"/>
        <v>#DIV/0!</v>
      </c>
      <c r="AA212" s="155" t="e">
        <f t="shared" si="19"/>
        <v>#DIV/0!</v>
      </c>
      <c r="AB212" s="155" t="e">
        <f t="shared" si="19"/>
        <v>#DIV/0!</v>
      </c>
      <c r="AC212" s="10"/>
      <c r="AD212" s="10"/>
      <c r="AE212" s="10"/>
      <c r="AF212" s="10"/>
      <c r="AG212" s="10"/>
      <c r="AH212" s="10"/>
      <c r="AI212" s="10"/>
      <c r="AJ212" s="10"/>
    </row>
    <row r="213" spans="1:36" x14ac:dyDescent="0.25">
      <c r="A213" s="32"/>
      <c r="B213" s="32"/>
      <c r="C213" s="10" t="s">
        <v>300</v>
      </c>
      <c r="D213" s="155" t="e">
        <f t="shared" si="15"/>
        <v>#DIV/0!</v>
      </c>
      <c r="E213" s="155" t="e">
        <f>$D$180*D213/deperd_reno</f>
        <v>#DIV/0!</v>
      </c>
      <c r="F213" s="155" t="e">
        <f t="shared" si="16"/>
        <v>#DIV/0!</v>
      </c>
      <c r="G213" s="137" t="e">
        <f t="shared" si="11"/>
        <v>#DIV/0!</v>
      </c>
      <c r="H213" s="155" t="e">
        <f t="shared" si="12"/>
        <v>#DIV/0!</v>
      </c>
      <c r="K213" s="32"/>
      <c r="N213" s="10"/>
      <c r="O213" s="10"/>
      <c r="P213" s="155" t="e">
        <f t="shared" si="13"/>
        <v>#DIV/0!</v>
      </c>
      <c r="Q213" s="155" t="e">
        <f t="shared" ref="Q213:AB213" si="20">+($D$110-$O$92)*(Temp_SR-Q$123)*Q$124*24/(1000)</f>
        <v>#DIV/0!</v>
      </c>
      <c r="R213" s="155" t="e">
        <f t="shared" si="20"/>
        <v>#DIV/0!</v>
      </c>
      <c r="S213" s="155" t="e">
        <f t="shared" si="20"/>
        <v>#DIV/0!</v>
      </c>
      <c r="T213" s="155" t="e">
        <f t="shared" si="20"/>
        <v>#DIV/0!</v>
      </c>
      <c r="U213" s="155" t="e">
        <f t="shared" si="20"/>
        <v>#DIV/0!</v>
      </c>
      <c r="V213" s="155" t="e">
        <f t="shared" si="20"/>
        <v>#DIV/0!</v>
      </c>
      <c r="W213" s="155" t="e">
        <f t="shared" si="20"/>
        <v>#DIV/0!</v>
      </c>
      <c r="X213" s="155" t="e">
        <f t="shared" si="20"/>
        <v>#DIV/0!</v>
      </c>
      <c r="Y213" s="155" t="e">
        <f t="shared" si="20"/>
        <v>#DIV/0!</v>
      </c>
      <c r="Z213" s="155" t="e">
        <f t="shared" si="20"/>
        <v>#DIV/0!</v>
      </c>
      <c r="AA213" s="155" t="e">
        <f t="shared" si="20"/>
        <v>#DIV/0!</v>
      </c>
      <c r="AB213" s="155" t="e">
        <f t="shared" si="20"/>
        <v>#DIV/0!</v>
      </c>
      <c r="AC213" s="10"/>
      <c r="AD213" s="10"/>
      <c r="AE213" s="10"/>
      <c r="AF213" s="10"/>
      <c r="AG213" s="10"/>
      <c r="AH213" s="10"/>
      <c r="AI213" s="10"/>
      <c r="AJ213" s="10"/>
    </row>
    <row r="214" spans="1:36" x14ac:dyDescent="0.25">
      <c r="A214" s="10"/>
      <c r="B214" s="102"/>
      <c r="C214" s="10" t="s">
        <v>231</v>
      </c>
      <c r="D214" s="155" t="e">
        <f t="shared" si="15"/>
        <v>#DIV/0!</v>
      </c>
      <c r="E214" s="155" t="e">
        <f>$D$180*D214/deperd_reno</f>
        <v>#DIV/0!</v>
      </c>
      <c r="F214" s="155" t="e">
        <f t="shared" si="16"/>
        <v>#DIV/0!</v>
      </c>
      <c r="G214" s="137" t="e">
        <f t="shared" si="11"/>
        <v>#DIV/0!</v>
      </c>
      <c r="H214" s="155" t="e">
        <f t="shared" si="12"/>
        <v>#DIV/0!</v>
      </c>
      <c r="K214" s="32"/>
      <c r="N214" s="10"/>
      <c r="O214" s="10"/>
      <c r="P214" s="155" t="e">
        <f t="shared" si="13"/>
        <v>#DIV/0!</v>
      </c>
      <c r="Q214" s="155" t="e">
        <f t="shared" ref="Q214:AB214" si="21">+(0.34*$D$138*$D$171)*($D$132-Q$123)*Q$124*24/(1000)</f>
        <v>#DIV/0!</v>
      </c>
      <c r="R214" s="155" t="e">
        <f t="shared" si="21"/>
        <v>#DIV/0!</v>
      </c>
      <c r="S214" s="155" t="e">
        <f t="shared" si="21"/>
        <v>#DIV/0!</v>
      </c>
      <c r="T214" s="155" t="e">
        <f t="shared" si="21"/>
        <v>#DIV/0!</v>
      </c>
      <c r="U214" s="155" t="e">
        <f t="shared" si="21"/>
        <v>#DIV/0!</v>
      </c>
      <c r="V214" s="155" t="e">
        <f t="shared" si="21"/>
        <v>#DIV/0!</v>
      </c>
      <c r="W214" s="155" t="e">
        <f t="shared" si="21"/>
        <v>#DIV/0!</v>
      </c>
      <c r="X214" s="155" t="e">
        <f t="shared" si="21"/>
        <v>#DIV/0!</v>
      </c>
      <c r="Y214" s="155" t="e">
        <f t="shared" si="21"/>
        <v>#DIV/0!</v>
      </c>
      <c r="Z214" s="155" t="e">
        <f t="shared" si="21"/>
        <v>#DIV/0!</v>
      </c>
      <c r="AA214" s="155" t="e">
        <f t="shared" si="21"/>
        <v>#DIV/0!</v>
      </c>
      <c r="AB214" s="155" t="e">
        <f t="shared" si="21"/>
        <v>#DIV/0!</v>
      </c>
      <c r="AC214" s="10"/>
      <c r="AD214" s="10"/>
      <c r="AE214" s="10"/>
      <c r="AF214" s="10"/>
      <c r="AG214" s="10"/>
      <c r="AH214" s="10"/>
      <c r="AI214" s="10"/>
      <c r="AJ214" s="10"/>
    </row>
    <row r="215" spans="1:36" x14ac:dyDescent="0.25">
      <c r="A215" s="10"/>
      <c r="B215" s="102"/>
      <c r="C215" s="10" t="s">
        <v>350</v>
      </c>
      <c r="D215" s="155" t="e">
        <f>SUBTOTAL(9,D209:D214)</f>
        <v>#DIV/0!</v>
      </c>
      <c r="E215" s="155" t="e">
        <f>SUBTOTAL(9,E209:E214)</f>
        <v>#DIV/0!</v>
      </c>
      <c r="F215" s="155" t="e">
        <f t="shared" si="16"/>
        <v>#DIV/0!</v>
      </c>
      <c r="G215" s="137" t="e">
        <f t="shared" si="11"/>
        <v>#DIV/0!</v>
      </c>
      <c r="H215" s="10"/>
      <c r="K215" s="32"/>
      <c r="N215" s="10"/>
      <c r="O215" s="10"/>
      <c r="P215" s="155" t="e">
        <f>SUBTOTAL(9,P209:P214)</f>
        <v>#DIV/0!</v>
      </c>
      <c r="Q215" s="155" t="e">
        <f>SUBTOTAL(9,Q209:Q214)</f>
        <v>#DIV/0!</v>
      </c>
      <c r="R215" s="155" t="e">
        <f t="shared" ref="R215:AB215" si="22">SUBTOTAL(9,R209:R214)</f>
        <v>#DIV/0!</v>
      </c>
      <c r="S215" s="155" t="e">
        <f t="shared" si="22"/>
        <v>#DIV/0!</v>
      </c>
      <c r="T215" s="155" t="e">
        <f t="shared" si="22"/>
        <v>#DIV/0!</v>
      </c>
      <c r="U215" s="155" t="e">
        <f t="shared" si="22"/>
        <v>#DIV/0!</v>
      </c>
      <c r="V215" s="155" t="e">
        <f t="shared" si="22"/>
        <v>#DIV/0!</v>
      </c>
      <c r="W215" s="155" t="e">
        <f t="shared" si="22"/>
        <v>#DIV/0!</v>
      </c>
      <c r="X215" s="155" t="e">
        <f t="shared" si="22"/>
        <v>#DIV/0!</v>
      </c>
      <c r="Y215" s="155" t="e">
        <f t="shared" si="22"/>
        <v>#DIV/0!</v>
      </c>
      <c r="Z215" s="155" t="e">
        <f t="shared" si="22"/>
        <v>#DIV/0!</v>
      </c>
      <c r="AA215" s="155" t="e">
        <f t="shared" si="22"/>
        <v>#DIV/0!</v>
      </c>
      <c r="AB215" s="155" t="e">
        <f t="shared" si="22"/>
        <v>#DIV/0!</v>
      </c>
      <c r="AC215" s="10"/>
      <c r="AD215" s="10"/>
      <c r="AE215" s="10"/>
      <c r="AF215" s="10"/>
      <c r="AG215" s="10"/>
      <c r="AH215" s="10"/>
      <c r="AI215" s="10"/>
      <c r="AJ215" s="10"/>
    </row>
    <row r="216" spans="1:36" x14ac:dyDescent="0.25">
      <c r="A216" s="10"/>
      <c r="B216" s="102"/>
      <c r="C216" s="10"/>
      <c r="D216" s="10"/>
      <c r="E216" s="10"/>
      <c r="H216" s="10"/>
      <c r="K216" s="32"/>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row>
    <row r="217" spans="1:36" ht="13" x14ac:dyDescent="0.3">
      <c r="A217" s="10"/>
      <c r="B217" s="102"/>
      <c r="C217" s="27" t="s">
        <v>302</v>
      </c>
      <c r="D217" s="10"/>
      <c r="E217" s="10"/>
      <c r="H217" s="10"/>
      <c r="K217" s="32"/>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row>
    <row r="218" spans="1:36" x14ac:dyDescent="0.25">
      <c r="A218" s="10"/>
      <c r="B218" s="102"/>
      <c r="C218" s="10" t="s">
        <v>252</v>
      </c>
      <c r="D218" s="155">
        <f>D180</f>
        <v>0</v>
      </c>
      <c r="E218" s="10" t="s">
        <v>22</v>
      </c>
      <c r="H218" s="10"/>
      <c r="K218" s="32"/>
      <c r="P218" s="155">
        <f>SUM(Q218:AB218)</f>
        <v>0</v>
      </c>
      <c r="Q218" s="155">
        <f t="shared" ref="Q218:AB218" si="23">$D$218/$D$124*Q124</f>
        <v>0</v>
      </c>
      <c r="R218" s="155">
        <f t="shared" si="23"/>
        <v>0</v>
      </c>
      <c r="S218" s="155">
        <f t="shared" si="23"/>
        <v>0</v>
      </c>
      <c r="T218" s="155">
        <f t="shared" si="23"/>
        <v>0</v>
      </c>
      <c r="U218" s="155">
        <f t="shared" si="23"/>
        <v>0</v>
      </c>
      <c r="V218" s="155">
        <f t="shared" si="23"/>
        <v>0</v>
      </c>
      <c r="W218" s="155">
        <f t="shared" si="23"/>
        <v>0</v>
      </c>
      <c r="X218" s="155">
        <f t="shared" si="23"/>
        <v>0</v>
      </c>
      <c r="Y218" s="155">
        <f t="shared" si="23"/>
        <v>0</v>
      </c>
      <c r="Z218" s="155">
        <f t="shared" si="23"/>
        <v>0</v>
      </c>
      <c r="AA218" s="155">
        <f t="shared" si="23"/>
        <v>0</v>
      </c>
      <c r="AB218" s="155">
        <f t="shared" si="23"/>
        <v>0</v>
      </c>
      <c r="AC218" s="10"/>
      <c r="AD218" s="10"/>
      <c r="AE218" s="10"/>
      <c r="AF218" s="10"/>
      <c r="AG218" s="10"/>
      <c r="AH218" s="10"/>
      <c r="AI218" s="10"/>
      <c r="AJ218" s="10"/>
    </row>
    <row r="219" spans="1:36" x14ac:dyDescent="0.25">
      <c r="A219" s="10"/>
      <c r="B219" s="102"/>
      <c r="C219" s="10" t="s">
        <v>45</v>
      </c>
      <c r="D219" s="155">
        <f>D183</f>
        <v>0</v>
      </c>
      <c r="E219" s="10" t="s">
        <v>22</v>
      </c>
      <c r="H219" s="10"/>
      <c r="K219" s="32"/>
      <c r="P219" s="155">
        <f>SUM(Q219:AB219)</f>
        <v>0</v>
      </c>
      <c r="Q219" s="155">
        <f>$D$219*Données!F4</f>
        <v>0</v>
      </c>
      <c r="R219" s="155">
        <f>$D$219*Données!G4</f>
        <v>0</v>
      </c>
      <c r="S219" s="155">
        <f>$D$219*Données!H4</f>
        <v>0</v>
      </c>
      <c r="T219" s="155">
        <f>$D$219*Données!I4</f>
        <v>0</v>
      </c>
      <c r="U219" s="155">
        <f>$D$219*Données!J4</f>
        <v>0</v>
      </c>
      <c r="V219" s="155">
        <f>$D$219*Données!K4</f>
        <v>0</v>
      </c>
      <c r="W219" s="155">
        <f>$D$219*Données!L4</f>
        <v>0</v>
      </c>
      <c r="X219" s="155">
        <f>$D$219*Données!M4</f>
        <v>0</v>
      </c>
      <c r="Y219" s="155">
        <f>$D$219*Données!O4</f>
        <v>0</v>
      </c>
      <c r="Z219" s="155">
        <f>$D$219*Données!P4</f>
        <v>0</v>
      </c>
      <c r="AA219" s="155">
        <f>$D$219*Données!Q4</f>
        <v>0</v>
      </c>
      <c r="AB219" s="155">
        <f>$D$219*Données!R4</f>
        <v>0</v>
      </c>
      <c r="AC219" s="10"/>
      <c r="AD219" s="10"/>
      <c r="AE219" s="10"/>
      <c r="AF219" s="10"/>
      <c r="AG219" s="10"/>
      <c r="AH219" s="10"/>
      <c r="AI219" s="10"/>
      <c r="AJ219" s="10"/>
    </row>
    <row r="220" spans="1:36" x14ac:dyDescent="0.25">
      <c r="A220" s="10"/>
      <c r="B220" s="102"/>
      <c r="C220" s="10" t="s">
        <v>303</v>
      </c>
      <c r="D220" s="155">
        <f>SUBTOTAL(9,D218:D219)</f>
        <v>0</v>
      </c>
      <c r="E220" s="10" t="s">
        <v>22</v>
      </c>
      <c r="H220" s="10"/>
      <c r="K220" s="32"/>
      <c r="P220" s="155">
        <f>SUM(Q220:AB220)</f>
        <v>0</v>
      </c>
      <c r="Q220" s="155">
        <f>Q219+Q218</f>
        <v>0</v>
      </c>
      <c r="R220" s="155">
        <f t="shared" ref="R220:AB220" si="24">R219+R218</f>
        <v>0</v>
      </c>
      <c r="S220" s="155">
        <f t="shared" si="24"/>
        <v>0</v>
      </c>
      <c r="T220" s="155">
        <f t="shared" si="24"/>
        <v>0</v>
      </c>
      <c r="U220" s="155">
        <f t="shared" si="24"/>
        <v>0</v>
      </c>
      <c r="V220" s="155">
        <f t="shared" si="24"/>
        <v>0</v>
      </c>
      <c r="W220" s="155">
        <f t="shared" si="24"/>
        <v>0</v>
      </c>
      <c r="X220" s="155">
        <f t="shared" si="24"/>
        <v>0</v>
      </c>
      <c r="Y220" s="155">
        <f t="shared" si="24"/>
        <v>0</v>
      </c>
      <c r="Z220" s="155">
        <f t="shared" si="24"/>
        <v>0</v>
      </c>
      <c r="AA220" s="155">
        <f t="shared" si="24"/>
        <v>0</v>
      </c>
      <c r="AB220" s="155">
        <f t="shared" si="24"/>
        <v>0</v>
      </c>
      <c r="AC220" s="10"/>
      <c r="AD220" s="10"/>
      <c r="AE220" s="10"/>
      <c r="AF220" s="10"/>
      <c r="AG220" s="10"/>
      <c r="AH220" s="10"/>
      <c r="AI220" s="10"/>
      <c r="AJ220" s="10"/>
    </row>
    <row r="221" spans="1:36" x14ac:dyDescent="0.25">
      <c r="A221" s="10"/>
      <c r="B221" s="102"/>
      <c r="C221" s="10"/>
      <c r="D221" s="10"/>
      <c r="E221" s="10"/>
      <c r="H221" s="10"/>
      <c r="K221" s="32"/>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row>
    <row r="222" spans="1:36" ht="18" x14ac:dyDescent="0.4">
      <c r="A222" s="10"/>
      <c r="B222" s="102"/>
      <c r="C222" s="10" t="s">
        <v>304</v>
      </c>
      <c r="D222" s="155" t="e">
        <f>MAX(deperd_reno-D220,P222)</f>
        <v>#DIV/0!</v>
      </c>
      <c r="E222" s="10" t="s">
        <v>22</v>
      </c>
      <c r="F222" s="38" t="e">
        <f>IF(D222&lt;0,"Les BNE sont négatifs!  Ceci laisse penser qu'il y a énormément d'apports et très peu de pertes","")</f>
        <v>#DIV/0!</v>
      </c>
      <c r="H222" s="10"/>
      <c r="K222" s="32"/>
      <c r="N222" s="10"/>
      <c r="O222" s="10"/>
      <c r="P222" s="155">
        <f>SUMIF(Q222:AB222,"&gt;0")</f>
        <v>0</v>
      </c>
      <c r="Q222" s="155" t="e">
        <f>Q215-Q220</f>
        <v>#DIV/0!</v>
      </c>
      <c r="R222" s="155" t="e">
        <f t="shared" ref="R222:AB222" si="25">R215-R220</f>
        <v>#DIV/0!</v>
      </c>
      <c r="S222" s="155" t="e">
        <f t="shared" si="25"/>
        <v>#DIV/0!</v>
      </c>
      <c r="T222" s="155" t="e">
        <f t="shared" si="25"/>
        <v>#DIV/0!</v>
      </c>
      <c r="U222" s="155" t="e">
        <f t="shared" si="25"/>
        <v>#DIV/0!</v>
      </c>
      <c r="V222" s="155" t="e">
        <f t="shared" si="25"/>
        <v>#DIV/0!</v>
      </c>
      <c r="W222" s="155" t="e">
        <f t="shared" si="25"/>
        <v>#DIV/0!</v>
      </c>
      <c r="X222" s="155" t="e">
        <f t="shared" si="25"/>
        <v>#DIV/0!</v>
      </c>
      <c r="Y222" s="155" t="e">
        <f t="shared" si="25"/>
        <v>#DIV/0!</v>
      </c>
      <c r="Z222" s="155" t="e">
        <f t="shared" si="25"/>
        <v>#DIV/0!</v>
      </c>
      <c r="AA222" s="155" t="e">
        <f t="shared" si="25"/>
        <v>#DIV/0!</v>
      </c>
      <c r="AB222" s="155" t="e">
        <f t="shared" si="25"/>
        <v>#DIV/0!</v>
      </c>
      <c r="AC222" s="10"/>
      <c r="AD222" s="10"/>
      <c r="AE222" s="10"/>
      <c r="AF222" s="10"/>
      <c r="AG222" s="10"/>
      <c r="AH222" s="10"/>
      <c r="AI222" s="10"/>
      <c r="AJ222" s="10"/>
    </row>
    <row r="223" spans="1:36" x14ac:dyDescent="0.25">
      <c r="A223" s="10"/>
      <c r="B223" s="102"/>
      <c r="C223" s="10"/>
      <c r="D223" s="10"/>
      <c r="E223" s="10"/>
      <c r="H223" s="10"/>
      <c r="K223" s="32"/>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row>
    <row r="224" spans="1:36" x14ac:dyDescent="0.25">
      <c r="A224" s="10"/>
      <c r="B224" s="102"/>
      <c r="C224" s="10" t="s">
        <v>305</v>
      </c>
      <c r="D224" s="155" t="e">
        <f>+D222*(1/D202-1)</f>
        <v>#DIV/0!</v>
      </c>
      <c r="E224" s="10" t="s">
        <v>22</v>
      </c>
      <c r="F224" s="155" t="e">
        <f>pertes_chau_reno</f>
        <v>#DIV/0!</v>
      </c>
      <c r="G224" s="137" t="e">
        <f>pertes_chau_reno/conso_reno</f>
        <v>#DIV/0!</v>
      </c>
      <c r="H224" s="155" t="e">
        <f>F224</f>
        <v>#DIV/0!</v>
      </c>
      <c r="K224" s="32"/>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row>
    <row r="225" spans="1:40" x14ac:dyDescent="0.25">
      <c r="A225" s="10"/>
      <c r="B225" s="102"/>
      <c r="C225" s="10"/>
      <c r="D225" s="125"/>
      <c r="E225" s="10"/>
      <c r="G225" s="138"/>
      <c r="H225" s="125"/>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row>
    <row r="226" spans="1:40" ht="13" x14ac:dyDescent="0.3">
      <c r="A226" s="10"/>
      <c r="B226" s="102"/>
      <c r="C226" s="27" t="s">
        <v>306</v>
      </c>
      <c r="D226" s="155" t="e">
        <f>D222+D224</f>
        <v>#DIV/0!</v>
      </c>
      <c r="E226" s="10" t="s">
        <v>22</v>
      </c>
      <c r="G226" s="10"/>
      <c r="H226" s="10"/>
      <c r="K226" s="32"/>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row>
    <row r="227" spans="1:40" x14ac:dyDescent="0.25">
      <c r="A227" s="10"/>
      <c r="B227" s="102"/>
      <c r="C227" s="10" t="s">
        <v>392</v>
      </c>
      <c r="D227" s="155" t="e">
        <f>conso_reno*Données!P42</f>
        <v>#DIV/0!</v>
      </c>
      <c r="E227" s="10" t="s">
        <v>315</v>
      </c>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row>
    <row r="228" spans="1:40" x14ac:dyDescent="0.25">
      <c r="A228" s="10"/>
      <c r="B228" s="102"/>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row>
    <row r="229" spans="1:40" x14ac:dyDescent="0.25">
      <c r="A229" s="10"/>
      <c r="B229" s="102"/>
      <c r="C229" s="10" t="s">
        <v>393</v>
      </c>
      <c r="D229" s="51" t="e">
        <f>D227/Données!P39/950*7</f>
        <v>#DIV/0!</v>
      </c>
      <c r="E229" s="10" t="s">
        <v>256</v>
      </c>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row>
    <row r="230" spans="1:40" x14ac:dyDescent="0.25">
      <c r="A230" s="10"/>
      <c r="B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x14ac:dyDescent="0.25">
      <c r="A231" s="10"/>
      <c r="B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x14ac:dyDescent="0.25">
      <c r="A232" s="10"/>
      <c r="B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x14ac:dyDescent="0.25">
      <c r="A233" s="10"/>
      <c r="B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x14ac:dyDescent="0.25">
      <c r="A234" s="10"/>
      <c r="B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x14ac:dyDescent="0.25">
      <c r="A235" s="10"/>
      <c r="B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x14ac:dyDescent="0.25">
      <c r="A236" s="10"/>
      <c r="B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x14ac:dyDescent="0.25">
      <c r="A237" s="10"/>
      <c r="B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x14ac:dyDescent="0.25">
      <c r="A238" s="10"/>
      <c r="B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x14ac:dyDescent="0.25">
      <c r="A239" s="10"/>
      <c r="B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x14ac:dyDescent="0.25">
      <c r="A240" s="10"/>
      <c r="B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1" x14ac:dyDescent="0.25">
      <c r="A241" s="10"/>
      <c r="B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1" x14ac:dyDescent="0.25">
      <c r="A242" s="10"/>
      <c r="B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1" x14ac:dyDescent="0.25">
      <c r="A243" s="10"/>
      <c r="B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1" x14ac:dyDescent="0.25">
      <c r="A244" s="10"/>
      <c r="B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1" x14ac:dyDescent="0.25">
      <c r="A245" s="10"/>
      <c r="B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1" x14ac:dyDescent="0.25">
      <c r="A246" s="10"/>
      <c r="B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1" x14ac:dyDescent="0.25">
      <c r="A247" s="10"/>
      <c r="B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1" x14ac:dyDescent="0.25">
      <c r="A248" s="10"/>
      <c r="B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1" x14ac:dyDescent="0.25">
      <c r="A249" s="10"/>
      <c r="B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1" x14ac:dyDescent="0.25">
      <c r="A250" s="10"/>
      <c r="B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1" x14ac:dyDescent="0.25">
      <c r="A251" s="10"/>
      <c r="B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1" x14ac:dyDescent="0.25">
      <c r="A252" s="10"/>
      <c r="B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1" x14ac:dyDescent="0.25">
      <c r="A253" s="10"/>
      <c r="B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1" x14ac:dyDescent="0.25">
      <c r="B254" s="10"/>
      <c r="C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row>
    <row r="255" spans="1:41" x14ac:dyDescent="0.25">
      <c r="B255" s="10" t="str">
        <f>C209</f>
        <v xml:space="preserve">Toiture </v>
      </c>
      <c r="C255" s="10" t="str">
        <f>C210</f>
        <v>Murs</v>
      </c>
      <c r="D255" s="10" t="str">
        <f>C211</f>
        <v>Vitrages - portes</v>
      </c>
      <c r="E255" s="10" t="str">
        <f>C212</f>
        <v>Planchers</v>
      </c>
      <c r="F255" s="10" t="str">
        <f>C213</f>
        <v>Nœuds constructifs</v>
      </c>
      <c r="G255" s="10" t="str">
        <f>C214</f>
        <v>Déperditions aérauliques</v>
      </c>
      <c r="H255" s="10" t="str">
        <f>C224</f>
        <v>Pertes exploitation chauffage</v>
      </c>
      <c r="I255" s="125" t="s">
        <v>252</v>
      </c>
      <c r="J255" s="125" t="s">
        <v>45</v>
      </c>
      <c r="K255" s="125" t="s">
        <v>306</v>
      </c>
      <c r="M255" s="10"/>
      <c r="V255" s="10"/>
      <c r="W255" s="10"/>
      <c r="X255" s="10"/>
      <c r="Y255" s="10"/>
      <c r="Z255" s="10"/>
      <c r="AA255" s="10"/>
      <c r="AB255" s="10"/>
      <c r="AC255" s="10"/>
      <c r="AD255" s="10"/>
      <c r="AE255" s="10"/>
      <c r="AF255" s="10"/>
      <c r="AG255" s="10"/>
      <c r="AH255" s="10"/>
      <c r="AI255" s="10"/>
      <c r="AJ255" s="10"/>
      <c r="AK255" s="10"/>
      <c r="AL255" s="10"/>
      <c r="AM255" s="10"/>
      <c r="AN255" s="10"/>
      <c r="AO255" s="10"/>
    </row>
    <row r="256" spans="1:41" x14ac:dyDescent="0.25">
      <c r="A256" s="10" t="s">
        <v>394</v>
      </c>
      <c r="B256" s="125" t="e">
        <f>'Situation initiale'!B273</f>
        <v>#DIV/0!</v>
      </c>
      <c r="C256" s="125" t="e">
        <f>'Situation initiale'!C273</f>
        <v>#DIV/0!</v>
      </c>
      <c r="D256" s="125" t="e">
        <f>'Situation initiale'!D273</f>
        <v>#DIV/0!</v>
      </c>
      <c r="E256" s="125" t="e">
        <f>'Situation initiale'!E273</f>
        <v>#DIV/0!</v>
      </c>
      <c r="F256" s="125" t="e">
        <f>'Situation initiale'!G273</f>
        <v>#DIV/0!</v>
      </c>
      <c r="G256" s="125" t="e">
        <f>'Situation initiale'!F273</f>
        <v>#DIV/0!</v>
      </c>
      <c r="H256" s="125" t="e">
        <f>'Situation initiale'!H273</f>
        <v>#DIV/0!</v>
      </c>
      <c r="I256" s="125"/>
      <c r="J256" s="125"/>
      <c r="K256" s="125"/>
      <c r="M256" s="10"/>
      <c r="V256" s="10"/>
      <c r="W256" s="10"/>
      <c r="X256" s="10"/>
      <c r="Y256" s="10"/>
      <c r="Z256" s="10"/>
      <c r="AA256" s="10"/>
      <c r="AB256" s="10"/>
      <c r="AC256" s="10"/>
      <c r="AD256" s="10"/>
      <c r="AE256" s="10"/>
      <c r="AF256" s="10"/>
      <c r="AG256" s="10"/>
      <c r="AH256" s="10"/>
      <c r="AI256" s="10"/>
      <c r="AJ256" s="10"/>
      <c r="AK256" s="10"/>
      <c r="AL256" s="10"/>
      <c r="AM256" s="10"/>
      <c r="AN256" s="10"/>
      <c r="AO256" s="10"/>
    </row>
    <row r="257" spans="1:41" x14ac:dyDescent="0.25">
      <c r="A257" s="10" t="s">
        <v>395</v>
      </c>
      <c r="B257" s="10"/>
      <c r="C257" s="10"/>
      <c r="D257" s="10"/>
      <c r="E257" s="10"/>
      <c r="F257" s="10"/>
      <c r="G257" s="10"/>
      <c r="H257" s="10"/>
      <c r="I257" s="125">
        <f>'Situation initiale'!E277</f>
        <v>0</v>
      </c>
      <c r="J257" s="125">
        <f>'Situation initiale'!F277</f>
        <v>0</v>
      </c>
      <c r="K257" s="125" t="e">
        <f>'Situation initiale'!G277</f>
        <v>#DIV/0!</v>
      </c>
      <c r="M257" s="10"/>
      <c r="V257" s="10"/>
      <c r="W257" s="10"/>
      <c r="X257" s="10"/>
      <c r="Y257" s="10"/>
      <c r="Z257" s="10"/>
      <c r="AA257" s="10"/>
      <c r="AB257" s="10"/>
      <c r="AC257" s="10"/>
      <c r="AD257" s="10"/>
      <c r="AE257" s="10"/>
      <c r="AF257" s="10"/>
      <c r="AG257" s="10"/>
      <c r="AH257" s="10"/>
      <c r="AI257" s="10"/>
      <c r="AJ257" s="10"/>
      <c r="AK257" s="10"/>
      <c r="AL257" s="10"/>
      <c r="AM257" s="10"/>
      <c r="AN257" s="10"/>
      <c r="AO257" s="10"/>
    </row>
    <row r="258" spans="1:41" x14ac:dyDescent="0.25">
      <c r="A258" s="10" t="s">
        <v>396</v>
      </c>
      <c r="B258" s="125" t="e">
        <f>D209</f>
        <v>#DIV/0!</v>
      </c>
      <c r="C258" s="125" t="e">
        <f>D210</f>
        <v>#DIV/0!</v>
      </c>
      <c r="D258" s="125" t="e">
        <f>D211</f>
        <v>#DIV/0!</v>
      </c>
      <c r="E258" s="125" t="e">
        <f>D212</f>
        <v>#DIV/0!</v>
      </c>
      <c r="F258" s="125" t="e">
        <f>D213</f>
        <v>#DIV/0!</v>
      </c>
      <c r="G258" s="125" t="e">
        <f>D214</f>
        <v>#DIV/0!</v>
      </c>
      <c r="H258" s="125" t="e">
        <f>D224</f>
        <v>#DIV/0!</v>
      </c>
      <c r="I258" s="125"/>
      <c r="J258" s="125"/>
      <c r="K258" s="125"/>
      <c r="M258" s="10"/>
      <c r="V258" s="10"/>
      <c r="W258" s="10"/>
      <c r="X258" s="10"/>
      <c r="Y258" s="10"/>
      <c r="Z258" s="10"/>
      <c r="AA258" s="10"/>
      <c r="AB258" s="10"/>
      <c r="AC258" s="10"/>
      <c r="AD258" s="10"/>
      <c r="AE258" s="10"/>
      <c r="AF258" s="10"/>
      <c r="AG258" s="10"/>
      <c r="AH258" s="10"/>
      <c r="AI258" s="10"/>
      <c r="AJ258" s="10"/>
      <c r="AK258" s="10"/>
      <c r="AL258" s="10"/>
      <c r="AM258" s="10"/>
      <c r="AN258" s="10"/>
      <c r="AO258" s="10"/>
    </row>
    <row r="259" spans="1:41" x14ac:dyDescent="0.25">
      <c r="A259" s="10" t="s">
        <v>397</v>
      </c>
      <c r="B259" s="10"/>
      <c r="C259" s="10"/>
      <c r="D259" s="10"/>
      <c r="E259" s="10"/>
      <c r="F259" s="10"/>
      <c r="G259" s="10"/>
      <c r="H259" s="10"/>
      <c r="I259" s="125">
        <f>D218</f>
        <v>0</v>
      </c>
      <c r="J259" s="125">
        <f>D219</f>
        <v>0</v>
      </c>
      <c r="K259" s="125" t="e">
        <f>D226</f>
        <v>#DIV/0!</v>
      </c>
      <c r="M259" s="10"/>
      <c r="V259" s="10"/>
      <c r="W259" s="10"/>
      <c r="X259" s="10"/>
      <c r="Y259" s="10"/>
      <c r="Z259" s="10"/>
      <c r="AA259" s="10"/>
      <c r="AB259" s="10"/>
      <c r="AC259" s="10"/>
      <c r="AD259" s="10"/>
      <c r="AE259" s="10"/>
      <c r="AF259" s="10"/>
      <c r="AG259" s="10"/>
      <c r="AH259" s="10"/>
      <c r="AI259" s="10"/>
      <c r="AJ259" s="10"/>
      <c r="AK259" s="10"/>
      <c r="AL259" s="10"/>
      <c r="AM259" s="10"/>
      <c r="AN259" s="10"/>
      <c r="AO259" s="10"/>
    </row>
    <row r="260" spans="1:41" x14ac:dyDescent="0.25">
      <c r="B260" s="10"/>
      <c r="C260" s="10"/>
      <c r="I260" s="10"/>
      <c r="J260" s="10"/>
      <c r="K260" s="125"/>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row>
    <row r="261" spans="1:41" x14ac:dyDescent="0.25">
      <c r="B261" s="10"/>
      <c r="C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row>
    <row r="262" spans="1:41" x14ac:dyDescent="0.25">
      <c r="B262" s="10"/>
      <c r="C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row>
    <row r="263" spans="1:41" x14ac:dyDescent="0.25">
      <c r="B263" s="10"/>
      <c r="C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row>
    <row r="264" spans="1:41" x14ac:dyDescent="0.25">
      <c r="B264" s="10"/>
      <c r="C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row>
    <row r="265" spans="1:41" x14ac:dyDescent="0.25">
      <c r="B265" s="10"/>
      <c r="C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row>
    <row r="266" spans="1:41" x14ac:dyDescent="0.25">
      <c r="B266" s="10"/>
      <c r="C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row>
    <row r="267" spans="1:41" x14ac:dyDescent="0.25">
      <c r="B267" s="10"/>
      <c r="C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row>
    <row r="268" spans="1:41" x14ac:dyDescent="0.25">
      <c r="B268" s="10"/>
      <c r="C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row>
    <row r="269" spans="1:41" x14ac:dyDescent="0.25">
      <c r="B269" s="10"/>
      <c r="C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row>
    <row r="270" spans="1:41" x14ac:dyDescent="0.25">
      <c r="B270" s="10"/>
      <c r="C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row>
    <row r="271" spans="1:41" x14ac:dyDescent="0.25">
      <c r="B271" s="10"/>
      <c r="C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row>
    <row r="272" spans="1:41" x14ac:dyDescent="0.25">
      <c r="B272" s="10"/>
      <c r="C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row>
    <row r="273" spans="2:41" x14ac:dyDescent="0.25">
      <c r="B273" s="10"/>
      <c r="C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row>
    <row r="274" spans="2:41" x14ac:dyDescent="0.25">
      <c r="B274" s="10"/>
      <c r="C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row>
    <row r="275" spans="2:41" x14ac:dyDescent="0.25">
      <c r="B275" s="10"/>
      <c r="C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row>
    <row r="276" spans="2:41" x14ac:dyDescent="0.25">
      <c r="B276" s="10"/>
      <c r="C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row>
    <row r="277" spans="2:41" x14ac:dyDescent="0.25">
      <c r="B277" s="10"/>
      <c r="C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row>
    <row r="278" spans="2:41" x14ac:dyDescent="0.25">
      <c r="B278" s="10"/>
      <c r="C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row>
    <row r="279" spans="2:41" x14ac:dyDescent="0.25">
      <c r="B279" s="10"/>
      <c r="C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row>
    <row r="280" spans="2:41" x14ac:dyDescent="0.25">
      <c r="B280" s="10"/>
      <c r="C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row>
    <row r="281" spans="2:41" x14ac:dyDescent="0.25">
      <c r="B281" s="10"/>
      <c r="C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row>
    <row r="282" spans="2:41" x14ac:dyDescent="0.25">
      <c r="B282" s="10"/>
      <c r="C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row>
    <row r="283" spans="2:41" x14ac:dyDescent="0.25">
      <c r="B283" s="10"/>
      <c r="C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row>
    <row r="284" spans="2:41" x14ac:dyDescent="0.25">
      <c r="B284" s="10"/>
      <c r="C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row>
    <row r="285" spans="2:41" x14ac:dyDescent="0.25">
      <c r="B285" s="10"/>
      <c r="C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row>
    <row r="286" spans="2:41" x14ac:dyDescent="0.25">
      <c r="B286" s="10"/>
      <c r="C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row>
    <row r="287" spans="2:41" x14ac:dyDescent="0.25">
      <c r="B287" s="10"/>
      <c r="C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row>
    <row r="288" spans="2:41" x14ac:dyDescent="0.25">
      <c r="B288" s="10"/>
      <c r="C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row>
    <row r="289" spans="1:41" x14ac:dyDescent="0.25">
      <c r="B289" s="10"/>
      <c r="C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row>
    <row r="290" spans="1:41" x14ac:dyDescent="0.25">
      <c r="B290" s="10"/>
      <c r="C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row>
    <row r="291" spans="1:41" x14ac:dyDescent="0.25">
      <c r="B291" s="10"/>
      <c r="C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row>
    <row r="292" spans="1:41" x14ac:dyDescent="0.25">
      <c r="B292" s="10"/>
      <c r="C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row>
    <row r="293" spans="1:41" x14ac:dyDescent="0.25">
      <c r="B293" s="10"/>
      <c r="C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row>
    <row r="294" spans="1:41" x14ac:dyDescent="0.25">
      <c r="B294" s="10"/>
      <c r="C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row>
    <row r="295" spans="1:41" x14ac:dyDescent="0.25">
      <c r="B295" s="10"/>
      <c r="C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row>
    <row r="296" spans="1:41" x14ac:dyDescent="0.25">
      <c r="B296" s="10"/>
      <c r="C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row>
    <row r="297" spans="1:41" x14ac:dyDescent="0.25">
      <c r="B297" s="10"/>
      <c r="C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row>
    <row r="298" spans="1:41" x14ac:dyDescent="0.25">
      <c r="B298" s="10"/>
      <c r="C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row>
    <row r="299" spans="1:41" x14ac:dyDescent="0.25">
      <c r="B299" s="10"/>
      <c r="C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row>
    <row r="300" spans="1:41" x14ac:dyDescent="0.25">
      <c r="A300" s="10"/>
      <c r="B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1" x14ac:dyDescent="0.25">
      <c r="A301" s="10"/>
      <c r="B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1" x14ac:dyDescent="0.25">
      <c r="A302" s="10"/>
      <c r="B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1" x14ac:dyDescent="0.25">
      <c r="A303" s="10"/>
      <c r="B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1" ht="15.5" x14ac:dyDescent="0.35">
      <c r="A304" s="10"/>
      <c r="B304" s="24" t="s">
        <v>311</v>
      </c>
      <c r="C304" s="24" t="s">
        <v>398</v>
      </c>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3" x14ac:dyDescent="0.3">
      <c r="A305" s="10"/>
      <c r="B305" s="10"/>
      <c r="C305" s="27"/>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x14ac:dyDescent="0.25">
      <c r="A306" s="10"/>
      <c r="B306" s="10"/>
      <c r="C306" s="172" t="s">
        <v>399</v>
      </c>
      <c r="D306" s="155">
        <f>F92+D136+D145+D193</f>
        <v>0</v>
      </c>
      <c r="E306" s="10" t="s">
        <v>224</v>
      </c>
      <c r="H306" s="10"/>
      <c r="I306" s="10"/>
      <c r="J306" s="10"/>
      <c r="K306" s="10"/>
      <c r="L306" s="10"/>
      <c r="M306" s="10"/>
      <c r="N306" s="10"/>
      <c r="O306" s="10"/>
      <c r="P306" s="10"/>
      <c r="Q306" s="10"/>
      <c r="R306" s="10"/>
      <c r="S306" s="10"/>
      <c r="W306" s="10"/>
      <c r="X306" s="10"/>
      <c r="Y306" s="10"/>
      <c r="Z306" s="10"/>
      <c r="AA306" s="10"/>
      <c r="AB306" s="10"/>
      <c r="AC306" s="10"/>
      <c r="AD306" s="10"/>
      <c r="AE306" s="10"/>
      <c r="AF306" s="10"/>
      <c r="AG306" s="10"/>
      <c r="AH306" s="10"/>
      <c r="AI306" s="10"/>
      <c r="AJ306" s="10"/>
      <c r="AK306" s="10"/>
      <c r="AL306" s="10"/>
      <c r="AM306" s="10"/>
      <c r="AN306" s="10"/>
    </row>
    <row r="307" spans="1:40" x14ac:dyDescent="0.25">
      <c r="A307" s="10"/>
      <c r="B307" s="10"/>
      <c r="C307" s="173" t="s">
        <v>400</v>
      </c>
      <c r="D307" s="155" t="e">
        <f>T92+T112+T169+T194</f>
        <v>#DIV/0!</v>
      </c>
      <c r="E307" s="10" t="s">
        <v>178</v>
      </c>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x14ac:dyDescent="0.25">
      <c r="A308" s="10"/>
      <c r="B308" s="10"/>
      <c r="C308" s="173" t="s">
        <v>401</v>
      </c>
      <c r="D308" s="18" t="e">
        <f>U92+U169+U194</f>
        <v>#DIV/0!</v>
      </c>
      <c r="E308" s="10" t="s">
        <v>224</v>
      </c>
      <c r="F308" s="10"/>
      <c r="G308" s="10"/>
      <c r="H308" s="10"/>
      <c r="I308" s="10"/>
      <c r="J308" s="10"/>
      <c r="K308" s="37" t="e">
        <f>IF(F211&gt;0,"Attention, les apports solaires sont importants et le bilan des fenêtres est positif (apports supérieurs aux pertes).  Ce graphique ci-dessous n'est alors pas exploitable.","")</f>
        <v>#DIV/0!</v>
      </c>
      <c r="L308" s="10"/>
      <c r="N308" s="10"/>
      <c r="P308" s="10"/>
      <c r="Q308" s="10"/>
      <c r="R308" s="10"/>
      <c r="S308" s="10"/>
      <c r="T308" s="37"/>
      <c r="U308" s="10"/>
      <c r="V308" s="10"/>
      <c r="W308" s="10"/>
      <c r="X308" s="10"/>
      <c r="Y308" s="10"/>
      <c r="Z308" s="10"/>
      <c r="AA308" s="10"/>
      <c r="AB308" s="10"/>
      <c r="AC308" s="10"/>
      <c r="AD308" s="10"/>
      <c r="AE308" s="10"/>
      <c r="AF308" s="10"/>
      <c r="AG308" s="10"/>
      <c r="AH308" s="10"/>
      <c r="AI308" s="10"/>
      <c r="AJ308" s="10"/>
      <c r="AK308" s="10"/>
      <c r="AL308" s="10"/>
      <c r="AM308" s="10"/>
      <c r="AN308" s="10"/>
    </row>
    <row r="309" spans="1:40" x14ac:dyDescent="0.25">
      <c r="A309" s="10"/>
      <c r="B309" s="10"/>
      <c r="C309" s="173" t="s">
        <v>402</v>
      </c>
      <c r="D309" s="18" t="e">
        <f>D306/D308</f>
        <v>#DIV/0!</v>
      </c>
      <c r="E309" s="10" t="s">
        <v>403</v>
      </c>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x14ac:dyDescent="0.25">
      <c r="A310" s="10"/>
      <c r="B310" s="10"/>
      <c r="C310" s="173" t="s">
        <v>404</v>
      </c>
      <c r="D310" s="166">
        <v>500000</v>
      </c>
      <c r="E310" s="10" t="s">
        <v>224</v>
      </c>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x14ac:dyDescent="0.25">
      <c r="A311" s="10"/>
      <c r="B311" s="10"/>
      <c r="C311" s="173" t="s">
        <v>405</v>
      </c>
      <c r="D311" s="18" t="e">
        <f>(D306-D310)/D308</f>
        <v>#DIV/0!</v>
      </c>
      <c r="E311" s="10" t="s">
        <v>403</v>
      </c>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x14ac:dyDescent="0.25">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4" spans="1:40" ht="18" customHeight="1" x14ac:dyDescent="0.35">
      <c r="A314" s="32"/>
      <c r="B314" s="24" t="s">
        <v>406</v>
      </c>
      <c r="C314" s="24" t="s">
        <v>312</v>
      </c>
      <c r="D314" s="32"/>
      <c r="E314" s="10"/>
      <c r="F314" s="97"/>
      <c r="G314" s="26"/>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row>
    <row r="315" spans="1:40" ht="24" customHeight="1" x14ac:dyDescent="0.35">
      <c r="A315" s="32"/>
      <c r="B315" s="24"/>
      <c r="C315" s="199" t="s">
        <v>407</v>
      </c>
      <c r="D315" s="32"/>
      <c r="E315" s="10"/>
      <c r="F315" s="97"/>
      <c r="G315" s="26"/>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row>
    <row r="316" spans="1:40" ht="15.5" x14ac:dyDescent="0.35">
      <c r="A316" s="32"/>
      <c r="B316" s="24"/>
      <c r="C316" s="202" t="s">
        <v>408</v>
      </c>
      <c r="D316" s="32"/>
      <c r="E316" s="10"/>
      <c r="F316" s="97"/>
      <c r="G316" s="26"/>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row>
    <row r="317" spans="1:40" ht="15.5" x14ac:dyDescent="0.35">
      <c r="A317" s="32"/>
      <c r="B317" s="24"/>
      <c r="C317" s="202" t="s">
        <v>409</v>
      </c>
      <c r="D317" s="32"/>
      <c r="E317" s="10"/>
      <c r="F317" s="97"/>
      <c r="G317" s="26"/>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row>
    <row r="318" spans="1:40" ht="18" customHeight="1" x14ac:dyDescent="0.35">
      <c r="A318" s="32"/>
      <c r="B318" s="24"/>
      <c r="C318" s="24"/>
      <c r="D318" s="32"/>
      <c r="E318" s="10"/>
      <c r="F318" s="97"/>
      <c r="G318" s="26"/>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row>
    <row r="319" spans="1:40" ht="18" customHeight="1" x14ac:dyDescent="0.35">
      <c r="A319" s="32"/>
      <c r="B319" s="24"/>
      <c r="C319" s="24"/>
      <c r="D319" s="32"/>
      <c r="E319" s="10"/>
      <c r="F319" s="97"/>
      <c r="G319" s="26"/>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row>
    <row r="320" spans="1:40" ht="18" customHeight="1" x14ac:dyDescent="0.35">
      <c r="A320" s="32"/>
      <c r="B320" s="24"/>
      <c r="C320" s="24"/>
      <c r="D320" s="32"/>
      <c r="E320" s="10"/>
      <c r="F320" s="97"/>
      <c r="G320" s="26"/>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row>
    <row r="321" spans="1:36" ht="18" customHeight="1" x14ac:dyDescent="0.35">
      <c r="A321" s="32"/>
      <c r="B321" s="24"/>
      <c r="C321" s="24"/>
      <c r="D321" s="32"/>
      <c r="E321" s="10"/>
      <c r="F321" s="97"/>
      <c r="G321" s="26"/>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row>
    <row r="322" spans="1:36" ht="18" customHeight="1" x14ac:dyDescent="0.35">
      <c r="A322" s="32"/>
      <c r="B322" s="24"/>
      <c r="C322" s="24"/>
      <c r="D322" s="32"/>
      <c r="E322" s="10"/>
      <c r="F322" s="97"/>
      <c r="G322" s="26"/>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row>
    <row r="323" spans="1:36" ht="18" customHeight="1" x14ac:dyDescent="0.35">
      <c r="A323" s="32"/>
      <c r="B323" s="24"/>
      <c r="C323" s="24"/>
      <c r="D323" s="32"/>
      <c r="E323" s="10"/>
      <c r="F323" s="97"/>
      <c r="G323" s="26"/>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row>
    <row r="324" spans="1:36" x14ac:dyDescent="0.25">
      <c r="C324" s="10" t="s">
        <v>392</v>
      </c>
    </row>
    <row r="325" spans="1:36" x14ac:dyDescent="0.25">
      <c r="C325" s="165" t="s">
        <v>314</v>
      </c>
      <c r="D325" s="155" t="e">
        <f>D227</f>
        <v>#DIV/0!</v>
      </c>
      <c r="E325" s="10" t="s">
        <v>315</v>
      </c>
    </row>
    <row r="326" spans="1:36" x14ac:dyDescent="0.25">
      <c r="C326" s="165" t="s">
        <v>410</v>
      </c>
      <c r="D326" s="155">
        <f>('Situation initiale'!D13-'Situation initiale'!D168+'Situation rénovée'!D164)*Données!P39</f>
        <v>0</v>
      </c>
      <c r="E326" s="10" t="s">
        <v>315</v>
      </c>
    </row>
    <row r="327" spans="1:36" x14ac:dyDescent="0.25">
      <c r="C327" s="153" t="s">
        <v>411</v>
      </c>
      <c r="D327" s="155" t="e">
        <f>SUM(D325:D326)</f>
        <v>#DIV/0!</v>
      </c>
      <c r="E327" s="10" t="s">
        <v>315</v>
      </c>
    </row>
    <row r="329" spans="1:36" ht="37.5" x14ac:dyDescent="0.25">
      <c r="C329" s="168" t="s">
        <v>412</v>
      </c>
      <c r="D329" s="170" t="s">
        <v>413</v>
      </c>
    </row>
    <row r="330" spans="1:36" x14ac:dyDescent="0.25">
      <c r="C330" s="168" t="s">
        <v>414</v>
      </c>
      <c r="D330" s="155" t="e">
        <f>IF(D329=Données!B115,D327-D326,'Situation rénovée'!D327)</f>
        <v>#DIV/0!</v>
      </c>
      <c r="E330" s="10" t="s">
        <v>315</v>
      </c>
    </row>
    <row r="332" spans="1:36" ht="25" x14ac:dyDescent="0.25">
      <c r="C332" s="168" t="s">
        <v>415</v>
      </c>
      <c r="D332" s="156" t="e">
        <f>D330/Données!P39</f>
        <v>#DIV/0!</v>
      </c>
      <c r="E332" s="169" t="s">
        <v>22</v>
      </c>
      <c r="G332" s="171" t="s">
        <v>416</v>
      </c>
      <c r="H332" s="156" t="e">
        <f>D332*7/950</f>
        <v>#DIV/0!</v>
      </c>
      <c r="I332" s="169" t="s">
        <v>417</v>
      </c>
    </row>
    <row r="334" spans="1:36" ht="25" x14ac:dyDescent="0.25">
      <c r="C334" s="168" t="s">
        <v>418</v>
      </c>
      <c r="D334" s="170"/>
      <c r="E334" s="169" t="s">
        <v>256</v>
      </c>
    </row>
    <row r="335" spans="1:36" x14ac:dyDescent="0.25">
      <c r="C335" s="168" t="s">
        <v>419</v>
      </c>
      <c r="D335" s="155">
        <f>D334/7*950</f>
        <v>0</v>
      </c>
      <c r="E335" s="169" t="s">
        <v>22</v>
      </c>
    </row>
    <row r="336" spans="1:36" x14ac:dyDescent="0.25">
      <c r="C336" s="168" t="s">
        <v>420</v>
      </c>
      <c r="D336" s="155">
        <f>D335*Données!$P$39</f>
        <v>0</v>
      </c>
      <c r="E336" s="10" t="s">
        <v>315</v>
      </c>
    </row>
    <row r="338" spans="3:6" x14ac:dyDescent="0.25">
      <c r="C338" s="153" t="s">
        <v>421</v>
      </c>
      <c r="D338" s="155" t="e">
        <f>D330-D336</f>
        <v>#DIV/0!</v>
      </c>
      <c r="E338" s="10" t="s">
        <v>315</v>
      </c>
      <c r="F338" s="154" t="e">
        <f>IF(D338&gt;0,"Le bâtiment ne sera pas neutre en carbone","Félicitations, le bâtiment sera neutre en carbone !")</f>
        <v>#DIV/0!</v>
      </c>
    </row>
    <row r="372" spans="2:6" x14ac:dyDescent="0.25">
      <c r="C372" s="165" t="s">
        <v>314</v>
      </c>
      <c r="D372" s="165" t="s">
        <v>422</v>
      </c>
      <c r="E372" s="165" t="s">
        <v>423</v>
      </c>
      <c r="F372" s="165" t="s">
        <v>424</v>
      </c>
    </row>
    <row r="373" spans="2:6" x14ac:dyDescent="0.25">
      <c r="B373" s="10" t="s">
        <v>425</v>
      </c>
      <c r="C373" s="201" t="e">
        <f>'Situation initiale'!D282</f>
        <v>#DIV/0!</v>
      </c>
      <c r="D373" s="201">
        <f>'Situation initiale'!D283</f>
        <v>0</v>
      </c>
      <c r="E373" s="165"/>
      <c r="F373" s="165"/>
    </row>
    <row r="374" spans="2:6" x14ac:dyDescent="0.25">
      <c r="B374" s="10" t="s">
        <v>426</v>
      </c>
      <c r="C374" s="165"/>
      <c r="D374" s="165"/>
      <c r="E374" s="165"/>
      <c r="F374" s="201">
        <f>'Situation initiale'!D287</f>
        <v>0</v>
      </c>
    </row>
    <row r="375" spans="2:6" x14ac:dyDescent="0.25">
      <c r="B375" s="10" t="s">
        <v>427</v>
      </c>
      <c r="C375" s="167" t="e">
        <f>D325</f>
        <v>#DIV/0!</v>
      </c>
      <c r="D375" s="167">
        <f>D326</f>
        <v>0</v>
      </c>
    </row>
    <row r="376" spans="2:6" x14ac:dyDescent="0.25">
      <c r="B376" s="10" t="s">
        <v>428</v>
      </c>
      <c r="E376">
        <f>IF(D329=Données!B115,'Situation rénovée'!D326,"")</f>
        <v>0</v>
      </c>
      <c r="F376" s="167">
        <f>D336</f>
        <v>0</v>
      </c>
    </row>
  </sheetData>
  <mergeCells count="51">
    <mergeCell ref="P13:R13"/>
    <mergeCell ref="B15:B54"/>
    <mergeCell ref="M15:M54"/>
    <mergeCell ref="N15:N54"/>
    <mergeCell ref="O15:O54"/>
    <mergeCell ref="B55:B57"/>
    <mergeCell ref="M55:M57"/>
    <mergeCell ref="N55:N57"/>
    <mergeCell ref="O55:O57"/>
    <mergeCell ref="B59:B68"/>
    <mergeCell ref="M59:M68"/>
    <mergeCell ref="N59:N68"/>
    <mergeCell ref="O59:O68"/>
    <mergeCell ref="B69:B78"/>
    <mergeCell ref="M69:M78"/>
    <mergeCell ref="N69:N78"/>
    <mergeCell ref="O69:O78"/>
    <mergeCell ref="B79:B80"/>
    <mergeCell ref="M79:M80"/>
    <mergeCell ref="N79:N80"/>
    <mergeCell ref="O79:O80"/>
    <mergeCell ref="B81:B82"/>
    <mergeCell ref="M81:M82"/>
    <mergeCell ref="N81:N82"/>
    <mergeCell ref="O81:O82"/>
    <mergeCell ref="B83:B84"/>
    <mergeCell ref="M83:M84"/>
    <mergeCell ref="N83:N84"/>
    <mergeCell ref="O83:O84"/>
    <mergeCell ref="N87:N88"/>
    <mergeCell ref="O87:O88"/>
    <mergeCell ref="B85:B86"/>
    <mergeCell ref="M85:M86"/>
    <mergeCell ref="C133:V133"/>
    <mergeCell ref="C96:K96"/>
    <mergeCell ref="T6:V11"/>
    <mergeCell ref="B186:B189"/>
    <mergeCell ref="N89:N90"/>
    <mergeCell ref="O89:O90"/>
    <mergeCell ref="B192:B202"/>
    <mergeCell ref="B119:B124"/>
    <mergeCell ref="B127:B130"/>
    <mergeCell ref="B89:B90"/>
    <mergeCell ref="M89:M90"/>
    <mergeCell ref="D194:F194"/>
    <mergeCell ref="N85:N86"/>
    <mergeCell ref="B135:B172"/>
    <mergeCell ref="B174:B183"/>
    <mergeCell ref="O85:O86"/>
    <mergeCell ref="B87:B88"/>
    <mergeCell ref="M87:M88"/>
  </mergeCells>
  <phoneticPr fontId="11" type="noConversion"/>
  <hyperlinks>
    <hyperlink ref="I86" r:id="rId1" xr:uid="{8E7381D7-91C2-4348-B65E-867F80C95C2B}"/>
  </hyperlinks>
  <pageMargins left="0.78740157499999996" right="0.78740157499999996" top="0.984251969" bottom="0.984251969" header="0.4921259845" footer="0.4921259845"/>
  <pageSetup paperSize="9" scale="86" fitToHeight="2" orientation="portrait" verticalDpi="355"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9166" r:id="rId5" name="Drop Down 1">
              <controlPr defaultSize="0" autoLine="0" autoPict="0">
                <anchor moveWithCells="1">
                  <from>
                    <xdr:col>2</xdr:col>
                    <xdr:colOff>2133600</xdr:colOff>
                    <xdr:row>5</xdr:row>
                    <xdr:rowOff>50800</xdr:rowOff>
                  </from>
                  <to>
                    <xdr:col>4</xdr:col>
                    <xdr:colOff>279400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8">
        <x14:dataValidation type="list" allowBlank="1" showInputMessage="1" showErrorMessage="1" xr:uid="{8574166A-9581-44F8-A1EB-F999D7F61D81}">
          <x14:formula1>
            <xm:f>Données!$A$3:$A$10</xm:f>
          </x14:formula1>
          <xm:sqref>I58 K15:K57</xm:sqref>
        </x14:dataValidation>
        <x14:dataValidation type="list" allowBlank="1" showInputMessage="1" showErrorMessage="1" xr:uid="{AA26D1CE-1629-4616-896D-158ECC6BDBA0}">
          <x14:formula1>
            <xm:f>Données!$A$92:$A$95</xm:f>
          </x14:formula1>
          <xm:sqref>D97:D101</xm:sqref>
        </x14:dataValidation>
        <x14:dataValidation type="list" allowBlank="1" showInputMessage="1" showErrorMessage="1" xr:uid="{F3E67C7C-CB0F-4875-9907-236F0590B231}">
          <x14:formula1>
            <xm:f>Données!$A$76:$A$79</xm:f>
          </x14:formula1>
          <xm:sqref>D196</xm:sqref>
        </x14:dataValidation>
        <x14:dataValidation type="list" allowBlank="1" showInputMessage="1" showErrorMessage="1" xr:uid="{6D11F239-F776-4D44-BC18-271297D48DAF}">
          <x14:formula1>
            <xm:f>Données!$A$82:$A$84</xm:f>
          </x14:formula1>
          <xm:sqref>D198</xm:sqref>
        </x14:dataValidation>
        <x14:dataValidation type="list" allowBlank="1" showInputMessage="1" showErrorMessage="1" xr:uid="{AFD928B1-EE7C-4D24-974F-4610A738BEE8}">
          <x14:formula1>
            <xm:f>Données!$A$87:$A$89</xm:f>
          </x14:formula1>
          <xm:sqref>D200</xm:sqref>
        </x14:dataValidation>
        <x14:dataValidation type="list" allowBlank="1" showInputMessage="1" showErrorMessage="1" xr:uid="{BCAFE783-9DBC-47FE-B1F0-5660069A9114}">
          <x14:formula1>
            <xm:f>Données!$A$59:$A$73</xm:f>
          </x14:formula1>
          <xm:sqref>D194</xm:sqref>
        </x14:dataValidation>
        <x14:dataValidation type="list" allowBlank="1" showInputMessage="1" showErrorMessage="1" xr:uid="{D44D4CD3-DA1B-41B6-A431-945AB1BEA676}">
          <x14:formula1>
            <xm:f>Données!$A$110:$A$112</xm:f>
          </x14:formula1>
          <xm:sqref>D160</xm:sqref>
        </x14:dataValidation>
        <x14:dataValidation type="list" allowBlank="1" showInputMessage="1" showErrorMessage="1" xr:uid="{B6E7B2C1-1970-4494-8F48-657450BBEAE0}">
          <x14:formula1>
            <xm:f>Données!$B$115:$B$116</xm:f>
          </x14:formula1>
          <xm:sqref>D329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B6169-E5C1-49A6-90E3-5BF7723025F4}">
  <sheetPr>
    <tabColor rgb="FFFFFF00"/>
  </sheetPr>
  <dimension ref="B1:P57"/>
  <sheetViews>
    <sheetView showGridLines="0" showRowColHeaders="0" tabSelected="1" zoomScale="85" zoomScaleNormal="85" workbookViewId="0">
      <selection activeCell="A41" sqref="A41"/>
    </sheetView>
  </sheetViews>
  <sheetFormatPr baseColWidth="10" defaultColWidth="11.453125" defaultRowHeight="14.5" x14ac:dyDescent="0.35"/>
  <cols>
    <col min="1" max="1" width="3.453125" style="183" customWidth="1"/>
    <col min="2" max="2" width="4.26953125" style="183" customWidth="1"/>
    <col min="3" max="3" width="5.1796875" style="183" customWidth="1"/>
    <col min="4" max="4" width="18" style="183" customWidth="1"/>
    <col min="5" max="16384" width="11.453125" style="183"/>
  </cols>
  <sheetData>
    <row r="1" spans="2:16" ht="15" thickBot="1" x14ac:dyDescent="0.4"/>
    <row r="2" spans="2:16" ht="15" customHeight="1" x14ac:dyDescent="0.35">
      <c r="C2" s="253" t="s">
        <v>429</v>
      </c>
      <c r="D2" s="253"/>
      <c r="E2" s="253"/>
      <c r="F2" s="253"/>
      <c r="G2" s="253"/>
      <c r="H2" s="253"/>
      <c r="I2" s="253"/>
      <c r="J2" s="253"/>
      <c r="K2" s="253"/>
      <c r="L2" s="253"/>
      <c r="M2" s="253"/>
      <c r="O2" s="254" t="s">
        <v>430</v>
      </c>
      <c r="P2" s="255"/>
    </row>
    <row r="3" spans="2:16" ht="15" customHeight="1" x14ac:dyDescent="0.35">
      <c r="C3" s="253"/>
      <c r="D3" s="253"/>
      <c r="E3" s="253"/>
      <c r="F3" s="253"/>
      <c r="G3" s="253"/>
      <c r="H3" s="253"/>
      <c r="I3" s="253"/>
      <c r="J3" s="253"/>
      <c r="K3" s="253"/>
      <c r="L3" s="253"/>
      <c r="M3" s="253"/>
      <c r="O3" s="256"/>
      <c r="P3" s="257"/>
    </row>
    <row r="4" spans="2:16" ht="15.75" customHeight="1" thickBot="1" x14ac:dyDescent="0.4">
      <c r="C4" s="253"/>
      <c r="D4" s="253"/>
      <c r="E4" s="253"/>
      <c r="F4" s="253"/>
      <c r="G4" s="253"/>
      <c r="H4" s="253"/>
      <c r="I4" s="253"/>
      <c r="J4" s="253"/>
      <c r="K4" s="253"/>
      <c r="L4" s="253"/>
      <c r="M4" s="253"/>
      <c r="O4" s="258"/>
      <c r="P4" s="259"/>
    </row>
    <row r="6" spans="2:16" ht="18" x14ac:dyDescent="0.4">
      <c r="B6" s="193" t="s">
        <v>431</v>
      </c>
    </row>
    <row r="7" spans="2:16" ht="15" customHeight="1" x14ac:dyDescent="0.35">
      <c r="C7" s="260" t="s">
        <v>432</v>
      </c>
      <c r="D7" s="260"/>
      <c r="E7" s="260"/>
      <c r="F7" s="260"/>
      <c r="G7" s="260"/>
      <c r="H7" s="260"/>
      <c r="I7" s="260"/>
      <c r="J7" s="260"/>
      <c r="K7" s="260"/>
      <c r="L7" s="260"/>
      <c r="M7" s="260"/>
    </row>
    <row r="8" spans="2:16" ht="15" customHeight="1" x14ac:dyDescent="0.35">
      <c r="C8" s="260"/>
      <c r="D8" s="260"/>
      <c r="E8" s="260"/>
      <c r="F8" s="260"/>
      <c r="G8" s="260"/>
      <c r="H8" s="260"/>
      <c r="I8" s="260"/>
      <c r="J8" s="260"/>
      <c r="K8" s="260"/>
      <c r="L8" s="260"/>
      <c r="M8" s="260"/>
    </row>
    <row r="9" spans="2:16" ht="15" customHeight="1" x14ac:dyDescent="0.35">
      <c r="C9" s="260"/>
      <c r="D9" s="260"/>
      <c r="E9" s="260"/>
      <c r="F9" s="260"/>
      <c r="G9" s="260"/>
      <c r="H9" s="260"/>
      <c r="I9" s="260"/>
      <c r="J9" s="260"/>
      <c r="K9" s="260"/>
      <c r="L9" s="260"/>
      <c r="M9" s="260"/>
    </row>
    <row r="10" spans="2:16" ht="15" customHeight="1" x14ac:dyDescent="0.35">
      <c r="C10" s="260"/>
      <c r="D10" s="260"/>
      <c r="E10" s="260"/>
      <c r="F10" s="260"/>
      <c r="G10" s="260"/>
      <c r="H10" s="260"/>
      <c r="I10" s="260"/>
      <c r="J10" s="260"/>
      <c r="K10" s="260"/>
      <c r="L10" s="260"/>
      <c r="M10" s="260"/>
    </row>
    <row r="11" spans="2:16" ht="15" customHeight="1" x14ac:dyDescent="0.35">
      <c r="C11" s="260"/>
      <c r="D11" s="260"/>
      <c r="E11" s="260"/>
      <c r="F11" s="260"/>
      <c r="G11" s="260"/>
      <c r="H11" s="260"/>
      <c r="I11" s="260"/>
      <c r="J11" s="260"/>
      <c r="K11" s="260"/>
      <c r="L11" s="260"/>
      <c r="M11" s="260"/>
    </row>
    <row r="12" spans="2:16" ht="15" customHeight="1" x14ac:dyDescent="0.35">
      <c r="C12" s="192"/>
      <c r="D12" s="192"/>
      <c r="E12" s="192"/>
      <c r="F12" s="192"/>
      <c r="G12" s="192"/>
      <c r="H12" s="192"/>
      <c r="I12" s="192"/>
      <c r="J12" s="192"/>
      <c r="K12" s="192"/>
      <c r="L12" s="192"/>
      <c r="M12" s="192"/>
    </row>
    <row r="13" spans="2:16" ht="18" x14ac:dyDescent="0.4">
      <c r="B13" s="193" t="s">
        <v>433</v>
      </c>
      <c r="C13" s="192"/>
      <c r="D13" s="192"/>
      <c r="E13" s="192"/>
      <c r="F13" s="192"/>
      <c r="G13" s="192"/>
      <c r="H13" s="192"/>
      <c r="I13" s="192"/>
      <c r="J13" s="192"/>
      <c r="K13" s="192"/>
      <c r="L13" s="192"/>
      <c r="M13" s="192"/>
    </row>
    <row r="14" spans="2:16" ht="15.75" customHeight="1" x14ac:dyDescent="0.35">
      <c r="C14" s="261" t="s">
        <v>434</v>
      </c>
      <c r="D14" s="261"/>
      <c r="E14" s="261"/>
      <c r="F14" s="261"/>
      <c r="G14" s="261"/>
      <c r="H14" s="261"/>
      <c r="I14" s="261"/>
      <c r="J14" s="261"/>
      <c r="K14" s="261"/>
      <c r="L14" s="261"/>
      <c r="M14" s="261"/>
    </row>
    <row r="15" spans="2:16" ht="15" customHeight="1" x14ac:dyDescent="0.35">
      <c r="C15" s="261"/>
      <c r="D15" s="261"/>
      <c r="E15" s="261"/>
      <c r="F15" s="261"/>
      <c r="G15" s="261"/>
      <c r="H15" s="261"/>
      <c r="I15" s="261"/>
      <c r="J15" s="261"/>
      <c r="K15" s="261"/>
      <c r="L15" s="261"/>
      <c r="M15" s="261"/>
    </row>
    <row r="16" spans="2:16" ht="15" customHeight="1" x14ac:dyDescent="0.35">
      <c r="C16" s="261"/>
      <c r="D16" s="261"/>
      <c r="E16" s="261"/>
      <c r="F16" s="261"/>
      <c r="G16" s="261"/>
      <c r="H16" s="261"/>
      <c r="I16" s="261"/>
      <c r="J16" s="261"/>
      <c r="K16" s="261"/>
      <c r="L16" s="261"/>
      <c r="M16" s="261"/>
    </row>
    <row r="17" spans="2:13" ht="15" customHeight="1" x14ac:dyDescent="0.35">
      <c r="C17" s="261"/>
      <c r="D17" s="261"/>
      <c r="E17" s="261"/>
      <c r="F17" s="261"/>
      <c r="G17" s="261"/>
      <c r="H17" s="261"/>
      <c r="I17" s="261"/>
      <c r="J17" s="261"/>
      <c r="K17" s="261"/>
      <c r="L17" s="261"/>
      <c r="M17" s="261"/>
    </row>
    <row r="18" spans="2:13" ht="15" customHeight="1" x14ac:dyDescent="0.35">
      <c r="C18" s="261"/>
      <c r="D18" s="261"/>
      <c r="E18" s="261"/>
      <c r="F18" s="261"/>
      <c r="G18" s="261"/>
      <c r="H18" s="261"/>
      <c r="I18" s="261"/>
      <c r="J18" s="261"/>
      <c r="K18" s="261"/>
      <c r="L18" s="261"/>
      <c r="M18" s="261"/>
    </row>
    <row r="19" spans="2:13" ht="15" customHeight="1" x14ac:dyDescent="0.35">
      <c r="C19" s="261"/>
      <c r="D19" s="261"/>
      <c r="E19" s="261"/>
      <c r="F19" s="261"/>
      <c r="G19" s="261"/>
      <c r="H19" s="261"/>
      <c r="I19" s="261"/>
      <c r="J19" s="261"/>
      <c r="K19" s="261"/>
      <c r="L19" s="261"/>
      <c r="M19" s="261"/>
    </row>
    <row r="21" spans="2:13" ht="18" x14ac:dyDescent="0.4">
      <c r="B21" s="188" t="s">
        <v>435</v>
      </c>
    </row>
    <row r="22" spans="2:13" ht="15.5" x14ac:dyDescent="0.35">
      <c r="C22" s="251" t="s">
        <v>436</v>
      </c>
      <c r="D22" s="251"/>
      <c r="E22" s="251"/>
      <c r="F22" s="251"/>
      <c r="G22" s="251"/>
      <c r="H22" s="251"/>
      <c r="I22" s="251"/>
      <c r="J22" s="251"/>
    </row>
    <row r="23" spans="2:13" ht="15.5" x14ac:dyDescent="0.35">
      <c r="C23" s="252" t="s">
        <v>18</v>
      </c>
      <c r="D23" s="252"/>
      <c r="E23" s="252"/>
      <c r="F23" s="252"/>
      <c r="G23" s="252"/>
      <c r="H23" s="252"/>
      <c r="I23" s="252"/>
      <c r="J23" s="252"/>
    </row>
    <row r="25" spans="2:13" ht="18" x14ac:dyDescent="0.4">
      <c r="B25" s="188" t="s">
        <v>437</v>
      </c>
    </row>
    <row r="26" spans="2:13" ht="15.5" x14ac:dyDescent="0.35">
      <c r="C26" s="186" t="s">
        <v>438</v>
      </c>
      <c r="I26" s="189" t="s">
        <v>439</v>
      </c>
    </row>
    <row r="27" spans="2:13" ht="15.5" x14ac:dyDescent="0.35">
      <c r="C27" s="186" t="s">
        <v>440</v>
      </c>
      <c r="I27" s="189" t="s">
        <v>413</v>
      </c>
    </row>
    <row r="29" spans="2:13" ht="18" x14ac:dyDescent="0.4">
      <c r="B29" s="188" t="s">
        <v>441</v>
      </c>
    </row>
    <row r="30" spans="2:13" x14ac:dyDescent="0.35">
      <c r="C30" s="186" t="s">
        <v>442</v>
      </c>
      <c r="D30" s="186"/>
    </row>
    <row r="31" spans="2:13" ht="15.5" x14ac:dyDescent="0.35">
      <c r="C31" s="186"/>
      <c r="D31" s="186" t="s">
        <v>443</v>
      </c>
      <c r="I31" s="189"/>
      <c r="J31" s="183" t="s">
        <v>256</v>
      </c>
    </row>
    <row r="32" spans="2:13" ht="15.5" x14ac:dyDescent="0.35">
      <c r="C32" s="186"/>
      <c r="D32" s="186" t="s">
        <v>444</v>
      </c>
      <c r="I32" s="189"/>
      <c r="J32" s="183" t="s">
        <v>168</v>
      </c>
      <c r="K32" s="198" t="s">
        <v>445</v>
      </c>
    </row>
    <row r="33" spans="3:10" x14ac:dyDescent="0.35">
      <c r="C33" s="186" t="s">
        <v>446</v>
      </c>
      <c r="D33" s="186"/>
    </row>
    <row r="34" spans="3:10" ht="15.5" x14ac:dyDescent="0.35">
      <c r="C34" s="186"/>
      <c r="D34" s="186" t="s">
        <v>447</v>
      </c>
      <c r="I34" s="189">
        <v>0.3</v>
      </c>
      <c r="J34" s="183" t="s">
        <v>168</v>
      </c>
    </row>
    <row r="35" spans="3:10" x14ac:dyDescent="0.35">
      <c r="C35" s="186" t="s">
        <v>448</v>
      </c>
      <c r="D35" s="186"/>
    </row>
    <row r="36" spans="3:10" ht="15.5" x14ac:dyDescent="0.35">
      <c r="C36" s="186"/>
      <c r="D36" s="186" t="s">
        <v>449</v>
      </c>
      <c r="I36" s="189">
        <v>1</v>
      </c>
      <c r="J36" s="183" t="s">
        <v>168</v>
      </c>
    </row>
    <row r="37" spans="3:10" ht="15.5" x14ac:dyDescent="0.35">
      <c r="D37" s="186" t="s">
        <v>450</v>
      </c>
      <c r="I37" s="189"/>
      <c r="J37" s="183" t="s">
        <v>168</v>
      </c>
    </row>
    <row r="38" spans="3:10" ht="15.5" x14ac:dyDescent="0.35">
      <c r="D38" s="186" t="s">
        <v>451</v>
      </c>
      <c r="I38" s="189">
        <v>3.5000000000000003E-2</v>
      </c>
      <c r="J38" s="183" t="s">
        <v>452</v>
      </c>
    </row>
    <row r="40" spans="3:10" x14ac:dyDescent="0.35">
      <c r="D40" s="203" t="s">
        <v>453</v>
      </c>
      <c r="E40" s="204"/>
      <c r="F40" s="204"/>
      <c r="G40" s="204"/>
      <c r="H40" s="204"/>
      <c r="I40" s="191" t="s">
        <v>454</v>
      </c>
    </row>
    <row r="41" spans="3:10" ht="15.5" x14ac:dyDescent="0.35">
      <c r="D41" s="190" t="s">
        <v>455</v>
      </c>
      <c r="E41" s="251" t="s">
        <v>456</v>
      </c>
      <c r="F41" s="251"/>
      <c r="G41" s="251"/>
      <c r="H41" s="251"/>
      <c r="I41" s="189">
        <v>8.7999999999999995E-2</v>
      </c>
      <c r="J41" s="183" t="s">
        <v>457</v>
      </c>
    </row>
    <row r="42" spans="3:10" ht="15.5" x14ac:dyDescent="0.35">
      <c r="D42" s="190" t="s">
        <v>458</v>
      </c>
      <c r="E42" s="251" t="s">
        <v>459</v>
      </c>
      <c r="F42" s="251"/>
      <c r="G42" s="251"/>
      <c r="H42" s="251"/>
      <c r="I42" s="189">
        <v>1.538</v>
      </c>
      <c r="J42" s="183" t="s">
        <v>457</v>
      </c>
    </row>
    <row r="43" spans="3:10" ht="15.5" x14ac:dyDescent="0.35">
      <c r="D43" s="190" t="s">
        <v>460</v>
      </c>
      <c r="E43" s="251" t="s">
        <v>461</v>
      </c>
      <c r="F43" s="251"/>
      <c r="G43" s="251"/>
      <c r="H43" s="251"/>
      <c r="I43" s="189">
        <v>4.5999999999999999E-2</v>
      </c>
      <c r="J43" s="183" t="s">
        <v>457</v>
      </c>
    </row>
    <row r="44" spans="3:10" ht="15.5" x14ac:dyDescent="0.35">
      <c r="D44" s="190" t="s">
        <v>462</v>
      </c>
      <c r="E44" s="251" t="s">
        <v>463</v>
      </c>
      <c r="F44" s="251"/>
      <c r="G44" s="251"/>
      <c r="H44" s="251"/>
      <c r="I44" s="189">
        <v>1.2E-2</v>
      </c>
      <c r="J44" s="183" t="s">
        <v>457</v>
      </c>
    </row>
    <row r="45" spans="3:10" ht="15.5" x14ac:dyDescent="0.35">
      <c r="D45" s="190" t="s">
        <v>464</v>
      </c>
      <c r="E45" s="251" t="s">
        <v>465</v>
      </c>
      <c r="F45" s="251"/>
      <c r="G45" s="251"/>
      <c r="H45" s="251"/>
      <c r="I45" s="189">
        <v>0</v>
      </c>
      <c r="J45" s="183" t="s">
        <v>457</v>
      </c>
    </row>
    <row r="46" spans="3:10" ht="15.5" x14ac:dyDescent="0.35">
      <c r="D46" s="190" t="s">
        <v>466</v>
      </c>
      <c r="E46" s="251" t="s">
        <v>465</v>
      </c>
      <c r="F46" s="251"/>
      <c r="G46" s="251"/>
      <c r="H46" s="251"/>
      <c r="I46" s="189">
        <v>0</v>
      </c>
      <c r="J46" s="183" t="s">
        <v>457</v>
      </c>
    </row>
    <row r="47" spans="3:10" ht="15.5" x14ac:dyDescent="0.35">
      <c r="D47" s="190" t="s">
        <v>467</v>
      </c>
      <c r="E47" s="251" t="s">
        <v>465</v>
      </c>
      <c r="F47" s="251"/>
      <c r="G47" s="251"/>
      <c r="H47" s="251"/>
      <c r="I47" s="189">
        <v>0</v>
      </c>
      <c r="J47" s="183" t="s">
        <v>457</v>
      </c>
    </row>
    <row r="48" spans="3:10" ht="15.5" x14ac:dyDescent="0.35">
      <c r="D48" s="190" t="s">
        <v>468</v>
      </c>
      <c r="E48" s="251" t="s">
        <v>465</v>
      </c>
      <c r="F48" s="251"/>
      <c r="G48" s="251"/>
      <c r="H48" s="251"/>
      <c r="I48" s="189">
        <v>0</v>
      </c>
      <c r="J48" s="183" t="s">
        <v>457</v>
      </c>
    </row>
    <row r="49" spans="2:10" ht="15.5" x14ac:dyDescent="0.35">
      <c r="D49" s="190" t="s">
        <v>469</v>
      </c>
      <c r="E49" s="251" t="s">
        <v>465</v>
      </c>
      <c r="F49" s="251"/>
      <c r="G49" s="251"/>
      <c r="H49" s="251"/>
      <c r="I49" s="189">
        <v>0</v>
      </c>
      <c r="J49" s="183" t="s">
        <v>457</v>
      </c>
    </row>
    <row r="50" spans="2:10" ht="15.5" x14ac:dyDescent="0.35">
      <c r="D50" s="190" t="s">
        <v>470</v>
      </c>
      <c r="E50" s="251" t="s">
        <v>465</v>
      </c>
      <c r="F50" s="251"/>
      <c r="G50" s="251"/>
      <c r="H50" s="251"/>
      <c r="I50" s="189">
        <v>0</v>
      </c>
      <c r="J50" s="183" t="s">
        <v>457</v>
      </c>
    </row>
    <row r="52" spans="2:10" ht="18" x14ac:dyDescent="0.4">
      <c r="B52" s="188" t="s">
        <v>471</v>
      </c>
    </row>
    <row r="54" spans="2:10" ht="15.5" x14ac:dyDescent="0.35">
      <c r="C54" s="186" t="s">
        <v>472</v>
      </c>
      <c r="I54" s="187">
        <f>SUM(I41:I50)</f>
        <v>1.6840000000000002</v>
      </c>
      <c r="J54" s="183" t="s">
        <v>457</v>
      </c>
    </row>
    <row r="55" spans="2:10" ht="15.5" x14ac:dyDescent="0.35">
      <c r="C55" s="186" t="s">
        <v>473</v>
      </c>
      <c r="I55" s="185" t="e">
        <f>Calculs_U_sol!D4+2*(Calculs_U_sol!D10/Calculs_U_sol!D2)</f>
        <v>#DIV/0!</v>
      </c>
      <c r="J55" s="183" t="s">
        <v>474</v>
      </c>
    </row>
    <row r="57" spans="2:10" x14ac:dyDescent="0.35">
      <c r="C57" s="184" t="str">
        <f>HYPERLINK("http://energie.wallonie.be/servlet/Repository/agw-150514-annexe-b1-drt-fr-2016.pdf?IDR=33835","Lien vers l'annexe B1 - F2.2")</f>
        <v>Lien vers l'annexe B1 - F2.2</v>
      </c>
    </row>
  </sheetData>
  <mergeCells count="16">
    <mergeCell ref="E41:H41"/>
    <mergeCell ref="E42:H42"/>
    <mergeCell ref="E48:H48"/>
    <mergeCell ref="E49:H49"/>
    <mergeCell ref="E50:H50"/>
    <mergeCell ref="E45:H45"/>
    <mergeCell ref="E46:H46"/>
    <mergeCell ref="E47:H47"/>
    <mergeCell ref="E43:H43"/>
    <mergeCell ref="E44:H44"/>
    <mergeCell ref="C22:J22"/>
    <mergeCell ref="C23:J23"/>
    <mergeCell ref="C2:M4"/>
    <mergeCell ref="O2:P4"/>
    <mergeCell ref="C7:M11"/>
    <mergeCell ref="C14:M19"/>
  </mergeCells>
  <dataValidations count="1">
    <dataValidation type="list" allowBlank="1" showInputMessage="1" showErrorMessage="1" sqref="I26:I27" xr:uid="{00000000-0002-0000-0000-000000000000}">
      <formula1>"oui,non"</formula1>
    </dataValidation>
  </dataValidations>
  <hyperlinks>
    <hyperlink ref="K32" r:id="rId1" xr:uid="{9374D404-9D62-4FAA-8987-DAC4D60A8D0F}"/>
  </hyperlinks>
  <pageMargins left="0.7" right="0.7" top="0.75" bottom="0.75" header="0.3" footer="0.3"/>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D2A07-AB04-4751-8101-AAEFBA64D848}">
  <dimension ref="B2:D10"/>
  <sheetViews>
    <sheetView workbookViewId="0">
      <selection activeCell="D3" sqref="D3"/>
    </sheetView>
  </sheetViews>
  <sheetFormatPr baseColWidth="10" defaultColWidth="11.54296875" defaultRowHeight="14.5" x14ac:dyDescent="0.35"/>
  <cols>
    <col min="1" max="16384" width="11.54296875" style="194"/>
  </cols>
  <sheetData>
    <row r="2" spans="2:4" ht="15.5" x14ac:dyDescent="0.35">
      <c r="B2" s="262" t="s">
        <v>475</v>
      </c>
      <c r="C2" s="262"/>
      <c r="D2" s="187" t="e">
        <f>U_sol!I31/(0.5*U_sol!I32)</f>
        <v>#DIV/0!</v>
      </c>
    </row>
    <row r="3" spans="2:4" ht="15.5" x14ac:dyDescent="0.35">
      <c r="B3" s="262" t="s">
        <v>476</v>
      </c>
      <c r="C3" s="262"/>
      <c r="D3" s="187">
        <f>U_sol!I34+2*(U_sol!I54+0.17*2)</f>
        <v>4.3479999999999999</v>
      </c>
    </row>
    <row r="4" spans="2:4" ht="15.5" x14ac:dyDescent="0.35">
      <c r="B4" s="262" t="s">
        <v>477</v>
      </c>
      <c r="C4" s="262"/>
      <c r="D4" s="187" t="e">
        <f>IF(D2&gt;D3,2*2*LN((PI()*Calculs_U_sol!D2/Calculs_U_sol!D3)+1)/(PI()*Calculs_U_sol!D2+Calculs_U_sol!D3),2/(0.457*Calculs_U_sol!D2+Calculs_U_sol!D3))</f>
        <v>#DIV/0!</v>
      </c>
    </row>
    <row r="5" spans="2:4" ht="15.5" x14ac:dyDescent="0.35">
      <c r="B5" s="262" t="s">
        <v>478</v>
      </c>
      <c r="C5" s="262"/>
      <c r="D5" s="187">
        <f>(U_sol!I37/U_sol!I38)*2-U_sol!I37</f>
        <v>0</v>
      </c>
    </row>
    <row r="6" spans="2:4" x14ac:dyDescent="0.35">
      <c r="D6" s="195" t="s">
        <v>479</v>
      </c>
    </row>
    <row r="7" spans="2:4" ht="15.5" x14ac:dyDescent="0.35">
      <c r="B7" s="194" t="s">
        <v>480</v>
      </c>
      <c r="D7" s="187">
        <f>-(2/PI())*(LN(U_sol!I36/Calculs_U_sol!D3+1)-LN(U_sol!I36/(Calculs_U_sol!D3+Calculs_U_sol!D5)+1))</f>
        <v>0</v>
      </c>
    </row>
    <row r="8" spans="2:4" ht="15.5" x14ac:dyDescent="0.35">
      <c r="B8" s="194" t="s">
        <v>481</v>
      </c>
      <c r="D8" s="187">
        <f>-(2/PI())*(LN(2*U_sol!I36/Calculs_U_sol!D3+1)-LN(2*U_sol!I36/(Calculs_U_sol!D3+Calculs_U_sol!D5)+1))</f>
        <v>0</v>
      </c>
    </row>
    <row r="10" spans="2:4" ht="15.5" x14ac:dyDescent="0.35">
      <c r="B10" s="263" t="s">
        <v>482</v>
      </c>
      <c r="C10" s="263"/>
      <c r="D10" s="187">
        <f>IF(U_sol!I26="oui",IF(U_sol!I27="oui",MIN(Calculs_U_sol!D7:D8),Calculs_U_sol!D7),IF(U_sol!I27="oui",Calculs_U_sol!D8,0))</f>
        <v>0</v>
      </c>
    </row>
  </sheetData>
  <mergeCells count="5">
    <mergeCell ref="B2:C2"/>
    <mergeCell ref="B3:C3"/>
    <mergeCell ref="B4:C4"/>
    <mergeCell ref="B5:C5"/>
    <mergeCell ref="B10:C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8D40F-BD0A-4C21-8556-8E45A82B1CA4}">
  <dimension ref="A1:AB121"/>
  <sheetViews>
    <sheetView topLeftCell="A13" zoomScaleNormal="100" workbookViewId="0">
      <selection activeCell="A37" sqref="A37"/>
    </sheetView>
  </sheetViews>
  <sheetFormatPr baseColWidth="10" defaultColWidth="11.453125" defaultRowHeight="12.5" x14ac:dyDescent="0.25"/>
  <cols>
    <col min="1" max="1" width="41.81640625" customWidth="1"/>
  </cols>
  <sheetData>
    <row r="1" spans="1:18" ht="13" x14ac:dyDescent="0.3">
      <c r="A1" s="27" t="s">
        <v>483</v>
      </c>
    </row>
    <row r="2" spans="1:18" ht="13" x14ac:dyDescent="0.3">
      <c r="A2" s="27"/>
      <c r="B2" t="s">
        <v>484</v>
      </c>
      <c r="C2">
        <v>3</v>
      </c>
      <c r="F2" s="10" t="s">
        <v>485</v>
      </c>
    </row>
    <row r="3" spans="1:18" x14ac:dyDescent="0.25">
      <c r="A3" t="s">
        <v>486</v>
      </c>
      <c r="B3">
        <v>153</v>
      </c>
      <c r="F3" s="125" t="s">
        <v>487</v>
      </c>
      <c r="G3" s="125" t="s">
        <v>352</v>
      </c>
      <c r="H3" s="125" t="s">
        <v>353</v>
      </c>
      <c r="I3" s="125" t="s">
        <v>354</v>
      </c>
      <c r="J3" s="125" t="s">
        <v>355</v>
      </c>
      <c r="K3" s="125" t="s">
        <v>356</v>
      </c>
      <c r="L3" s="125" t="s">
        <v>357</v>
      </c>
      <c r="M3" s="125" t="s">
        <v>488</v>
      </c>
      <c r="N3" s="125"/>
      <c r="O3" s="125" t="s">
        <v>359</v>
      </c>
      <c r="P3" s="125" t="s">
        <v>360</v>
      </c>
      <c r="Q3" s="125" t="s">
        <v>361</v>
      </c>
      <c r="R3" s="125" t="s">
        <v>362</v>
      </c>
    </row>
    <row r="4" spans="1:18" x14ac:dyDescent="0.25">
      <c r="A4" t="s">
        <v>62</v>
      </c>
      <c r="B4">
        <v>165</v>
      </c>
      <c r="F4" s="206">
        <v>8.0414850404381261E-2</v>
      </c>
      <c r="G4" s="206">
        <v>0.12199475019274797</v>
      </c>
      <c r="H4" s="206">
        <v>0.21165579073057972</v>
      </c>
      <c r="I4" s="206">
        <v>0.27010429681698411</v>
      </c>
      <c r="J4" s="206">
        <v>0</v>
      </c>
      <c r="K4" s="206">
        <v>0</v>
      </c>
      <c r="L4" s="206">
        <v>0</v>
      </c>
      <c r="M4" s="206">
        <v>0</v>
      </c>
      <c r="N4" s="206"/>
      <c r="O4" s="206">
        <v>0</v>
      </c>
      <c r="P4" s="206">
        <v>0.154883940969788</v>
      </c>
      <c r="Q4" s="206">
        <v>9.237067710534963E-2</v>
      </c>
      <c r="R4" s="206">
        <v>6.8575693780169353E-2</v>
      </c>
    </row>
    <row r="5" spans="1:18" x14ac:dyDescent="0.25">
      <c r="A5" t="s">
        <v>489</v>
      </c>
      <c r="B5">
        <v>216</v>
      </c>
      <c r="F5" s="206"/>
    </row>
    <row r="6" spans="1:18" x14ac:dyDescent="0.25">
      <c r="A6" t="s">
        <v>490</v>
      </c>
      <c r="B6">
        <v>295</v>
      </c>
      <c r="F6" s="206"/>
    </row>
    <row r="7" spans="1:18" x14ac:dyDescent="0.25">
      <c r="A7" t="s">
        <v>491</v>
      </c>
      <c r="B7">
        <v>347</v>
      </c>
      <c r="F7" s="206"/>
    </row>
    <row r="8" spans="1:18" x14ac:dyDescent="0.25">
      <c r="A8" t="s">
        <v>492</v>
      </c>
      <c r="B8">
        <v>310</v>
      </c>
      <c r="F8" s="206"/>
    </row>
    <row r="9" spans="1:18" x14ac:dyDescent="0.25">
      <c r="A9" t="s">
        <v>493</v>
      </c>
      <c r="B9">
        <v>227</v>
      </c>
      <c r="F9" s="206"/>
    </row>
    <row r="10" spans="1:18" x14ac:dyDescent="0.25">
      <c r="A10" t="s">
        <v>494</v>
      </c>
      <c r="B10">
        <v>165</v>
      </c>
      <c r="F10" s="206"/>
    </row>
    <row r="12" spans="1:18" ht="13" x14ac:dyDescent="0.3">
      <c r="A12" s="27" t="s">
        <v>495</v>
      </c>
    </row>
    <row r="13" spans="1:18" x14ac:dyDescent="0.25">
      <c r="A13" s="10" t="s">
        <v>496</v>
      </c>
      <c r="B13">
        <v>0.95</v>
      </c>
      <c r="J13" s="85"/>
    </row>
    <row r="14" spans="1:18" x14ac:dyDescent="0.25">
      <c r="A14" s="10" t="s">
        <v>497</v>
      </c>
      <c r="B14">
        <v>0.85</v>
      </c>
      <c r="J14" s="85"/>
    </row>
    <row r="15" spans="1:18" x14ac:dyDescent="0.25">
      <c r="A15" s="10" t="s">
        <v>498</v>
      </c>
      <c r="B15">
        <v>0.7</v>
      </c>
      <c r="J15" s="85"/>
    </row>
    <row r="16" spans="1:18" x14ac:dyDescent="0.25">
      <c r="A16" s="10" t="s">
        <v>499</v>
      </c>
      <c r="B16">
        <f>B13*B14*B15</f>
        <v>0.56524999999999992</v>
      </c>
      <c r="J16" s="85"/>
    </row>
    <row r="18" spans="1:28" ht="13" x14ac:dyDescent="0.3">
      <c r="A18" s="27" t="s">
        <v>500</v>
      </c>
    </row>
    <row r="19" spans="1:28" x14ac:dyDescent="0.25">
      <c r="B19" t="s">
        <v>501</v>
      </c>
      <c r="C19" s="10" t="s">
        <v>502</v>
      </c>
    </row>
    <row r="20" spans="1:28" x14ac:dyDescent="0.25">
      <c r="A20" t="s">
        <v>503</v>
      </c>
      <c r="B20">
        <v>100</v>
      </c>
      <c r="C20">
        <v>2</v>
      </c>
      <c r="H20" t="s">
        <v>503</v>
      </c>
    </row>
    <row r="21" spans="1:28" x14ac:dyDescent="0.25">
      <c r="A21" s="10" t="s">
        <v>254</v>
      </c>
      <c r="B21">
        <v>100</v>
      </c>
      <c r="C21">
        <v>3</v>
      </c>
      <c r="H21" s="10" t="s">
        <v>254</v>
      </c>
    </row>
    <row r="22" spans="1:28" x14ac:dyDescent="0.25">
      <c r="A22" t="s">
        <v>504</v>
      </c>
      <c r="B22">
        <v>100</v>
      </c>
      <c r="C22">
        <v>4</v>
      </c>
      <c r="H22" t="s">
        <v>504</v>
      </c>
      <c r="AB22" s="10" t="s">
        <v>505</v>
      </c>
    </row>
    <row r="23" spans="1:28" x14ac:dyDescent="0.25">
      <c r="A23" s="10" t="s">
        <v>506</v>
      </c>
      <c r="B23">
        <v>100</v>
      </c>
      <c r="C23">
        <v>1</v>
      </c>
      <c r="H23" s="10" t="s">
        <v>506</v>
      </c>
    </row>
    <row r="24" spans="1:28" x14ac:dyDescent="0.25">
      <c r="A24" t="s">
        <v>507</v>
      </c>
      <c r="B24">
        <v>300</v>
      </c>
      <c r="C24">
        <v>1</v>
      </c>
      <c r="H24" t="s">
        <v>507</v>
      </c>
      <c r="K24" s="111"/>
    </row>
    <row r="25" spans="1:28" x14ac:dyDescent="0.25">
      <c r="K25" s="111"/>
    </row>
    <row r="26" spans="1:28" x14ac:dyDescent="0.25">
      <c r="A26" t="s">
        <v>503</v>
      </c>
      <c r="B26">
        <v>100</v>
      </c>
      <c r="C26">
        <v>2</v>
      </c>
    </row>
    <row r="27" spans="1:28" x14ac:dyDescent="0.25">
      <c r="A27" s="10" t="s">
        <v>254</v>
      </c>
      <c r="B27">
        <v>100</v>
      </c>
      <c r="C27">
        <v>3</v>
      </c>
    </row>
    <row r="28" spans="1:28" x14ac:dyDescent="0.25">
      <c r="A28" t="s">
        <v>504</v>
      </c>
      <c r="B28">
        <v>100</v>
      </c>
      <c r="C28">
        <v>4</v>
      </c>
    </row>
    <row r="29" spans="1:28" x14ac:dyDescent="0.25">
      <c r="A29" s="10" t="s">
        <v>506</v>
      </c>
      <c r="B29">
        <v>100</v>
      </c>
      <c r="C29">
        <v>1</v>
      </c>
      <c r="K29" s="37"/>
    </row>
    <row r="30" spans="1:28" x14ac:dyDescent="0.25">
      <c r="A30" t="s">
        <v>507</v>
      </c>
      <c r="B30">
        <v>300</v>
      </c>
      <c r="C30">
        <v>1</v>
      </c>
      <c r="N30" s="219" t="s">
        <v>505</v>
      </c>
    </row>
    <row r="31" spans="1:28" ht="38" x14ac:dyDescent="0.3">
      <c r="A31" s="59" t="s">
        <v>508</v>
      </c>
      <c r="B31" s="60"/>
      <c r="C31" s="60"/>
      <c r="D31" s="60"/>
      <c r="E31" s="60"/>
      <c r="F31" s="60" t="s">
        <v>509</v>
      </c>
      <c r="G31" s="60"/>
      <c r="H31" s="216" t="s">
        <v>510</v>
      </c>
      <c r="I31" s="216" t="s">
        <v>511</v>
      </c>
      <c r="J31" s="216" t="s">
        <v>512</v>
      </c>
      <c r="K31" s="216" t="s">
        <v>513</v>
      </c>
      <c r="L31" s="216" t="s">
        <v>514</v>
      </c>
      <c r="M31" s="217" t="s">
        <v>515</v>
      </c>
      <c r="N31" s="216" t="s">
        <v>516</v>
      </c>
      <c r="O31" s="216" t="s">
        <v>517</v>
      </c>
      <c r="P31" s="216" t="s">
        <v>518</v>
      </c>
    </row>
    <row r="32" spans="1:28" x14ac:dyDescent="0.25">
      <c r="A32" s="60" t="s">
        <v>519</v>
      </c>
      <c r="B32" s="60"/>
      <c r="C32" s="60"/>
      <c r="D32" s="60"/>
      <c r="E32" s="60"/>
      <c r="F32" s="60" t="s">
        <v>520</v>
      </c>
      <c r="G32" s="78" t="s">
        <v>521</v>
      </c>
      <c r="H32" s="62">
        <v>36.9</v>
      </c>
      <c r="I32" s="62">
        <v>33.299999999999997</v>
      </c>
      <c r="J32" s="62">
        <f t="shared" ref="J32:K38" si="0">H32/3.6</f>
        <v>10.25</v>
      </c>
      <c r="K32" s="63">
        <f>I32/3.6/J32</f>
        <v>0.9024390243902437</v>
      </c>
      <c r="L32" s="63">
        <f>K32</f>
        <v>0.9024390243902437</v>
      </c>
      <c r="M32" s="61">
        <v>0.90200000000000002</v>
      </c>
      <c r="N32" s="61"/>
      <c r="O32" s="61"/>
      <c r="P32" s="61">
        <f>2.1208/K33</f>
        <v>2.4133241379310344</v>
      </c>
    </row>
    <row r="33" spans="1:16" x14ac:dyDescent="0.25">
      <c r="A33" s="60" t="s">
        <v>522</v>
      </c>
      <c r="B33" s="60"/>
      <c r="C33" s="60"/>
      <c r="D33" s="60"/>
      <c r="E33" s="60"/>
      <c r="F33" s="60" t="s">
        <v>520</v>
      </c>
      <c r="G33" s="78" t="s">
        <v>521</v>
      </c>
      <c r="H33" s="62">
        <v>42.9</v>
      </c>
      <c r="I33" s="62">
        <v>37.700000000000003</v>
      </c>
      <c r="J33" s="62">
        <f t="shared" si="0"/>
        <v>11.916666666666666</v>
      </c>
      <c r="K33" s="63">
        <f>I33/3.6/J33</f>
        <v>0.8787878787878789</v>
      </c>
      <c r="L33" s="63">
        <f>K33</f>
        <v>0.8787878787878789</v>
      </c>
      <c r="M33" s="61">
        <v>0.90200000000000002</v>
      </c>
      <c r="N33" s="61"/>
      <c r="O33" s="61"/>
      <c r="P33" s="61">
        <f>2.1208/K33</f>
        <v>2.4133241379310344</v>
      </c>
    </row>
    <row r="34" spans="1:16" x14ac:dyDescent="0.25">
      <c r="A34" s="60" t="s">
        <v>523</v>
      </c>
      <c r="B34" s="60"/>
      <c r="C34" s="60"/>
      <c r="D34" s="60"/>
      <c r="E34" s="60"/>
      <c r="F34" s="60" t="s">
        <v>524</v>
      </c>
      <c r="G34" s="78" t="s">
        <v>525</v>
      </c>
      <c r="H34" s="64">
        <v>38.1</v>
      </c>
      <c r="I34" s="64">
        <f>42.7*840/1000</f>
        <v>35.868000000000002</v>
      </c>
      <c r="J34" s="64">
        <f t="shared" si="0"/>
        <v>10.583333333333334</v>
      </c>
      <c r="K34" s="64">
        <f t="shared" si="0"/>
        <v>9.9633333333333329</v>
      </c>
      <c r="L34" s="65">
        <f>K34/J34</f>
        <v>0.94141732283464563</v>
      </c>
      <c r="M34" s="66">
        <v>9.94</v>
      </c>
      <c r="N34" s="66"/>
      <c r="O34" s="66">
        <v>7.2999999999999995E-2</v>
      </c>
      <c r="P34" s="66">
        <f>2.6937/K34</f>
        <v>0.270361324857812</v>
      </c>
    </row>
    <row r="35" spans="1:16" x14ac:dyDescent="0.25">
      <c r="A35" s="60" t="s">
        <v>526</v>
      </c>
      <c r="B35" s="60"/>
      <c r="C35" s="60"/>
      <c r="D35" s="60"/>
      <c r="E35" s="60"/>
      <c r="F35" s="60" t="s">
        <v>527</v>
      </c>
      <c r="G35" s="78" t="s">
        <v>528</v>
      </c>
      <c r="H35" s="89"/>
      <c r="I35" s="89">
        <v>16.2</v>
      </c>
      <c r="J35" s="64"/>
      <c r="K35" s="64">
        <f>I35/3.6</f>
        <v>4.5</v>
      </c>
      <c r="L35" s="103"/>
      <c r="M35" s="89">
        <f>K35</f>
        <v>4.5</v>
      </c>
      <c r="N35" s="218">
        <v>0.14080000000000001</v>
      </c>
      <c r="O35" s="90"/>
      <c r="P35" s="90">
        <f>N35/K35</f>
        <v>3.1288888888888894E-2</v>
      </c>
    </row>
    <row r="36" spans="1:16" x14ac:dyDescent="0.25">
      <c r="A36" s="78" t="s">
        <v>529</v>
      </c>
      <c r="B36" s="60"/>
      <c r="C36" s="60"/>
      <c r="D36" s="60"/>
      <c r="E36" s="60"/>
      <c r="F36" s="60" t="s">
        <v>527</v>
      </c>
      <c r="G36" s="78" t="s">
        <v>528</v>
      </c>
      <c r="H36" s="89"/>
      <c r="I36" s="89">
        <v>12</v>
      </c>
      <c r="J36" s="64"/>
      <c r="K36" s="64">
        <f>I36/3.6</f>
        <v>3.333333333333333</v>
      </c>
      <c r="L36" s="103"/>
      <c r="M36" s="89">
        <f t="shared" ref="M36:M38" si="1">K36</f>
        <v>3.333333333333333</v>
      </c>
      <c r="N36" s="218">
        <v>0.1043</v>
      </c>
      <c r="O36" s="90"/>
      <c r="P36" s="90">
        <f t="shared" ref="P36:P37" si="2">N36/K36</f>
        <v>3.1290000000000005E-2</v>
      </c>
    </row>
    <row r="37" spans="1:16" x14ac:dyDescent="0.25">
      <c r="A37" s="60" t="s">
        <v>530</v>
      </c>
      <c r="B37" s="60"/>
      <c r="C37" s="60"/>
      <c r="D37" s="60"/>
      <c r="E37" s="60"/>
      <c r="F37" s="60" t="s">
        <v>527</v>
      </c>
      <c r="G37" s="78" t="s">
        <v>531</v>
      </c>
      <c r="H37" s="89"/>
      <c r="I37" s="89">
        <v>14.4</v>
      </c>
      <c r="J37" s="64"/>
      <c r="K37" s="64">
        <f>I37/3.6</f>
        <v>4</v>
      </c>
      <c r="L37" s="103"/>
      <c r="M37" s="89">
        <f>K37*1000</f>
        <v>4000</v>
      </c>
      <c r="N37" s="218">
        <v>0.12520000000000001</v>
      </c>
      <c r="O37" s="90"/>
      <c r="P37" s="90">
        <f t="shared" si="2"/>
        <v>3.1300000000000001E-2</v>
      </c>
    </row>
    <row r="38" spans="1:16" x14ac:dyDescent="0.25">
      <c r="A38" s="60" t="s">
        <v>532</v>
      </c>
      <c r="B38" s="60"/>
      <c r="C38" s="60"/>
      <c r="D38" s="60"/>
      <c r="E38" s="60"/>
      <c r="F38" s="60" t="s">
        <v>524</v>
      </c>
      <c r="G38" s="78" t="s">
        <v>525</v>
      </c>
      <c r="H38" s="89"/>
      <c r="I38" s="89">
        <v>25.3</v>
      </c>
      <c r="J38" s="64"/>
      <c r="K38" s="62">
        <f t="shared" si="0"/>
        <v>7.0277777777777777</v>
      </c>
      <c r="L38" s="103"/>
      <c r="M38" s="89">
        <f t="shared" si="1"/>
        <v>7.0277777777777777</v>
      </c>
      <c r="N38" s="89"/>
      <c r="O38" s="90"/>
      <c r="P38" s="90">
        <f>0.0654*3.6</f>
        <v>0.23544000000000001</v>
      </c>
    </row>
    <row r="39" spans="1:16" x14ac:dyDescent="0.25">
      <c r="A39" s="78" t="s">
        <v>533</v>
      </c>
      <c r="B39" s="60"/>
      <c r="C39" s="60"/>
      <c r="D39" s="60"/>
      <c r="E39" s="60"/>
      <c r="F39" s="60" t="s">
        <v>178</v>
      </c>
      <c r="G39" s="78" t="s">
        <v>27</v>
      </c>
      <c r="H39" s="89">
        <v>3.6</v>
      </c>
      <c r="I39" s="89">
        <v>3.6</v>
      </c>
      <c r="J39" s="89">
        <v>1</v>
      </c>
      <c r="K39" s="89">
        <v>1</v>
      </c>
      <c r="L39" s="89">
        <v>1</v>
      </c>
      <c r="M39" s="90">
        <v>1</v>
      </c>
      <c r="N39" s="90"/>
      <c r="O39" s="90">
        <f>P39/3.6</f>
        <v>4.7222222222222221E-2</v>
      </c>
      <c r="P39" s="90">
        <v>0.17</v>
      </c>
    </row>
    <row r="40" spans="1:16" ht="13" thickBot="1" x14ac:dyDescent="0.3">
      <c r="A40" s="78" t="s">
        <v>534</v>
      </c>
      <c r="B40" s="60"/>
      <c r="C40" s="60"/>
      <c r="D40" s="60"/>
      <c r="E40" s="60"/>
      <c r="F40" s="60" t="s">
        <v>178</v>
      </c>
      <c r="G40" s="78" t="s">
        <v>27</v>
      </c>
      <c r="H40" s="89">
        <v>3.6</v>
      </c>
      <c r="I40" s="89">
        <v>3.6</v>
      </c>
      <c r="J40" s="89">
        <v>1</v>
      </c>
      <c r="K40" s="89">
        <v>1</v>
      </c>
      <c r="L40" s="89">
        <v>1</v>
      </c>
      <c r="M40" s="90">
        <v>1</v>
      </c>
      <c r="N40" s="90"/>
      <c r="O40" s="90">
        <v>0</v>
      </c>
      <c r="P40" s="90">
        <f>O40*3.6</f>
        <v>0</v>
      </c>
    </row>
    <row r="41" spans="1:16" ht="13" thickBot="1" x14ac:dyDescent="0.3">
      <c r="A41" s="60" t="s">
        <v>535</v>
      </c>
      <c r="B41" s="67">
        <v>2</v>
      </c>
      <c r="C41" s="68" t="str">
        <f>INDEX(A32:A40,B41,1)</f>
        <v>Gaz riche H - G20 (Wallonie, récemment à Bruxelles et Brabant Wallon)</v>
      </c>
      <c r="D41" s="69"/>
      <c r="E41" s="69"/>
      <c r="F41" s="70" t="str">
        <f t="shared" ref="F41:P41" si="3">INDEX(F32:F40,$B$41,1)</f>
        <v>kWh PCS</v>
      </c>
      <c r="G41" s="70" t="str">
        <f t="shared" si="3"/>
        <v>€ htva/kWh PCS</v>
      </c>
      <c r="H41" s="70">
        <f t="shared" si="3"/>
        <v>42.9</v>
      </c>
      <c r="I41" s="70">
        <f t="shared" si="3"/>
        <v>37.700000000000003</v>
      </c>
      <c r="J41" s="70">
        <f t="shared" si="3"/>
        <v>11.916666666666666</v>
      </c>
      <c r="K41" s="70">
        <f t="shared" si="3"/>
        <v>0.8787878787878789</v>
      </c>
      <c r="L41" s="70">
        <f t="shared" si="3"/>
        <v>0.8787878787878789</v>
      </c>
      <c r="M41" s="175">
        <f t="shared" si="3"/>
        <v>0.90200000000000002</v>
      </c>
      <c r="N41" s="175"/>
      <c r="O41" s="70">
        <f t="shared" si="3"/>
        <v>0</v>
      </c>
      <c r="P41" s="70">
        <f t="shared" si="3"/>
        <v>2.4133241379310344</v>
      </c>
    </row>
    <row r="42" spans="1:16" ht="13" thickBot="1" x14ac:dyDescent="0.3">
      <c r="A42" s="60" t="s">
        <v>536</v>
      </c>
      <c r="B42" s="91">
        <v>2</v>
      </c>
      <c r="C42" s="92" t="str">
        <f>INDEX(A32:A40,B42,1)</f>
        <v>Gaz riche H - G20 (Wallonie, récemment à Bruxelles et Brabant Wallon)</v>
      </c>
      <c r="D42" s="91"/>
      <c r="E42" s="91"/>
      <c r="F42" s="70" t="str">
        <f t="shared" ref="F42:P42" si="4">INDEX(F32:F40,$B$42,1)</f>
        <v>kWh PCS</v>
      </c>
      <c r="G42" s="70" t="str">
        <f t="shared" si="4"/>
        <v>€ htva/kWh PCS</v>
      </c>
      <c r="H42" s="70">
        <f t="shared" si="4"/>
        <v>42.9</v>
      </c>
      <c r="I42" s="70">
        <f t="shared" si="4"/>
        <v>37.700000000000003</v>
      </c>
      <c r="J42" s="70">
        <f t="shared" si="4"/>
        <v>11.916666666666666</v>
      </c>
      <c r="K42" s="70">
        <f t="shared" si="4"/>
        <v>0.8787878787878789</v>
      </c>
      <c r="L42" s="70">
        <f t="shared" si="4"/>
        <v>0.8787878787878789</v>
      </c>
      <c r="M42" s="70">
        <f t="shared" si="4"/>
        <v>0.90200000000000002</v>
      </c>
      <c r="N42" s="70"/>
      <c r="O42" s="70">
        <f t="shared" si="4"/>
        <v>0</v>
      </c>
      <c r="P42" s="70">
        <f t="shared" si="4"/>
        <v>2.4133241379310344</v>
      </c>
    </row>
    <row r="43" spans="1:16" x14ac:dyDescent="0.25">
      <c r="A43" s="60"/>
      <c r="B43" s="60"/>
      <c r="C43" s="60"/>
      <c r="D43" s="60"/>
      <c r="E43" s="60"/>
      <c r="F43" s="60"/>
      <c r="G43" s="60"/>
      <c r="H43" s="60"/>
      <c r="I43" s="60"/>
      <c r="J43" s="60"/>
      <c r="K43" s="60"/>
      <c r="L43" s="60"/>
      <c r="M43" s="60"/>
      <c r="N43" s="60"/>
      <c r="O43" s="60"/>
    </row>
    <row r="44" spans="1:16" ht="13" x14ac:dyDescent="0.3">
      <c r="A44" s="71" t="s">
        <v>537</v>
      </c>
      <c r="B44" s="72"/>
      <c r="C44" s="72"/>
      <c r="D44" s="72"/>
      <c r="E44" s="72"/>
      <c r="F44" s="72"/>
      <c r="G44" s="72"/>
      <c r="H44" s="72"/>
      <c r="I44" s="72"/>
      <c r="J44" s="72"/>
      <c r="K44" s="72"/>
      <c r="L44" s="72"/>
    </row>
    <row r="45" spans="1:16" x14ac:dyDescent="0.25">
      <c r="A45" s="73" t="str">
        <f>IF(B41=3,"litres de mazout","-")</f>
        <v>-</v>
      </c>
      <c r="B45" s="72"/>
      <c r="C45" s="72"/>
      <c r="D45" s="72"/>
      <c r="E45" s="72"/>
      <c r="F45" s="72"/>
      <c r="G45" s="72"/>
      <c r="H45" s="72"/>
      <c r="I45" s="72"/>
      <c r="J45" s="72"/>
      <c r="K45" s="72"/>
      <c r="L45" s="72"/>
    </row>
    <row r="46" spans="1:16" x14ac:dyDescent="0.25">
      <c r="A46" s="73" t="str">
        <f>IF(OR(B41=4,B41=5),"kWh","-")</f>
        <v>-</v>
      </c>
      <c r="B46" s="72"/>
      <c r="C46" s="72"/>
      <c r="D46" s="72"/>
      <c r="E46" s="72"/>
      <c r="F46" s="72"/>
      <c r="G46" s="72"/>
      <c r="H46" s="72"/>
      <c r="I46" s="72"/>
      <c r="J46" s="72"/>
      <c r="K46" s="72"/>
      <c r="L46" s="72"/>
    </row>
    <row r="47" spans="1:16" x14ac:dyDescent="0.25">
      <c r="A47" s="73" t="str">
        <f>IF(OR(B41=1,B41=2),"m³ de gaz","-")</f>
        <v>m³ de gaz</v>
      </c>
      <c r="B47" s="72"/>
      <c r="C47" s="72"/>
      <c r="D47" s="72"/>
      <c r="E47" s="72"/>
      <c r="F47" s="72"/>
      <c r="G47" s="72"/>
      <c r="H47" s="72"/>
      <c r="I47" s="72"/>
      <c r="J47" s="72"/>
      <c r="K47" s="72"/>
      <c r="L47" s="72"/>
    </row>
    <row r="48" spans="1:16" ht="13" thickBot="1" x14ac:dyDescent="0.3">
      <c r="A48" s="73" t="str">
        <f>IF(OR(B41=1,B41=2),"kWh (PCS) de gaz","-")</f>
        <v>kWh (PCS) de gaz</v>
      </c>
      <c r="B48" s="72"/>
      <c r="C48" s="72"/>
      <c r="D48" s="72"/>
      <c r="E48" s="72"/>
      <c r="F48" s="72"/>
      <c r="G48" s="72"/>
      <c r="H48" s="72"/>
      <c r="I48" s="72"/>
      <c r="J48" s="72"/>
      <c r="K48" s="72"/>
      <c r="L48" s="72"/>
    </row>
    <row r="49" spans="1:18" ht="13" thickBot="1" x14ac:dyDescent="0.3">
      <c r="A49" s="72" t="s">
        <v>535</v>
      </c>
      <c r="B49" s="74">
        <v>2</v>
      </c>
      <c r="C49" s="75" t="str">
        <f>INDEX(A45:A48,B49,1)</f>
        <v>-</v>
      </c>
      <c r="D49" s="76"/>
      <c r="E49" s="76"/>
      <c r="F49" s="77"/>
      <c r="G49" s="72"/>
      <c r="H49" s="72"/>
      <c r="I49" s="72"/>
      <c r="J49" s="72"/>
      <c r="K49" s="72"/>
      <c r="L49" s="72"/>
    </row>
    <row r="50" spans="1:18" ht="13" thickBot="1" x14ac:dyDescent="0.3">
      <c r="A50" s="72" t="s">
        <v>535</v>
      </c>
      <c r="B50" s="74">
        <v>1</v>
      </c>
      <c r="C50" s="75" t="str">
        <f>INDEX(A45:A48,B50,1)</f>
        <v>-</v>
      </c>
      <c r="D50" s="76"/>
      <c r="E50" s="76"/>
      <c r="F50" s="77"/>
      <c r="G50" s="72"/>
      <c r="H50" s="72"/>
      <c r="I50" s="72"/>
      <c r="J50" s="72"/>
      <c r="K50" s="72"/>
      <c r="L50" s="72"/>
    </row>
    <row r="51" spans="1:18" x14ac:dyDescent="0.25">
      <c r="R51">
        <f>39/3.6</f>
        <v>10.833333333333334</v>
      </c>
    </row>
    <row r="52" spans="1:18" x14ac:dyDescent="0.25">
      <c r="R52">
        <f>46/3.6</f>
        <v>12.777777777777777</v>
      </c>
    </row>
    <row r="53" spans="1:18" x14ac:dyDescent="0.25">
      <c r="A53" s="10" t="s">
        <v>300</v>
      </c>
      <c r="C53" s="10" t="s">
        <v>538</v>
      </c>
      <c r="D53" s="10" t="s">
        <v>539</v>
      </c>
      <c r="E53" s="10" t="s">
        <v>540</v>
      </c>
      <c r="R53">
        <f>37.7/3.6</f>
        <v>10.472222222222223</v>
      </c>
    </row>
    <row r="54" spans="1:18" x14ac:dyDescent="0.25">
      <c r="A54" s="10" t="s">
        <v>171</v>
      </c>
      <c r="B54">
        <v>3</v>
      </c>
      <c r="C54">
        <f>3/100</f>
        <v>0.03</v>
      </c>
    </row>
    <row r="55" spans="1:18" x14ac:dyDescent="0.25">
      <c r="A55" s="10" t="s">
        <v>541</v>
      </c>
      <c r="B55">
        <v>10</v>
      </c>
    </row>
    <row r="56" spans="1:18" x14ac:dyDescent="0.25">
      <c r="A56" s="10"/>
    </row>
    <row r="58" spans="1:18" x14ac:dyDescent="0.25">
      <c r="A58" t="s">
        <v>542</v>
      </c>
      <c r="B58" t="s">
        <v>543</v>
      </c>
      <c r="C58" t="s">
        <v>544</v>
      </c>
    </row>
    <row r="59" spans="1:18" x14ac:dyDescent="0.25">
      <c r="A59" t="s">
        <v>545</v>
      </c>
      <c r="B59">
        <v>0.75</v>
      </c>
      <c r="C59">
        <v>0.8</v>
      </c>
    </row>
    <row r="60" spans="1:18" x14ac:dyDescent="0.25">
      <c r="A60" t="s">
        <v>271</v>
      </c>
      <c r="B60">
        <v>0.85</v>
      </c>
      <c r="C60">
        <v>0.88</v>
      </c>
    </row>
    <row r="61" spans="1:18" x14ac:dyDescent="0.25">
      <c r="A61" t="s">
        <v>546</v>
      </c>
      <c r="B61">
        <v>0.89</v>
      </c>
      <c r="C61">
        <v>0.91</v>
      </c>
    </row>
    <row r="62" spans="1:18" x14ac:dyDescent="0.25">
      <c r="A62" t="s">
        <v>547</v>
      </c>
      <c r="B62">
        <v>0.93</v>
      </c>
      <c r="C62">
        <v>0.95</v>
      </c>
    </row>
    <row r="63" spans="1:18" x14ac:dyDescent="0.25">
      <c r="A63" t="s">
        <v>385</v>
      </c>
      <c r="B63">
        <v>0.97</v>
      </c>
      <c r="C63">
        <v>0.99</v>
      </c>
    </row>
    <row r="64" spans="1:18" x14ac:dyDescent="0.25">
      <c r="A64" t="s">
        <v>548</v>
      </c>
      <c r="B64">
        <v>1</v>
      </c>
      <c r="C64">
        <v>1.02</v>
      </c>
    </row>
    <row r="65" spans="1:3" x14ac:dyDescent="0.25">
      <c r="A65" t="s">
        <v>549</v>
      </c>
      <c r="B65">
        <f>ROUND(C65*0.8,2)</f>
        <v>2</v>
      </c>
      <c r="C65">
        <v>2.5</v>
      </c>
    </row>
    <row r="66" spans="1:3" x14ac:dyDescent="0.25">
      <c r="A66" t="s">
        <v>550</v>
      </c>
      <c r="B66">
        <f t="shared" ref="B66:B73" si="5">ROUND(C66*0.8,2)</f>
        <v>2.2000000000000002</v>
      </c>
      <c r="C66">
        <v>2.75</v>
      </c>
    </row>
    <row r="67" spans="1:3" x14ac:dyDescent="0.25">
      <c r="A67" t="s">
        <v>551</v>
      </c>
      <c r="B67">
        <f t="shared" si="5"/>
        <v>2.88</v>
      </c>
      <c r="C67">
        <v>3.6</v>
      </c>
    </row>
    <row r="68" spans="1:3" x14ac:dyDescent="0.25">
      <c r="A68" t="s">
        <v>552</v>
      </c>
      <c r="B68">
        <f t="shared" si="5"/>
        <v>3.2</v>
      </c>
      <c r="C68">
        <v>4</v>
      </c>
    </row>
    <row r="69" spans="1:3" x14ac:dyDescent="0.25">
      <c r="A69" t="s">
        <v>553</v>
      </c>
      <c r="B69">
        <f t="shared" si="5"/>
        <v>0.63</v>
      </c>
      <c r="C69">
        <v>0.79</v>
      </c>
    </row>
    <row r="70" spans="1:3" x14ac:dyDescent="0.25">
      <c r="A70" t="s">
        <v>554</v>
      </c>
      <c r="B70">
        <f t="shared" si="5"/>
        <v>0.68</v>
      </c>
      <c r="C70">
        <v>0.85</v>
      </c>
    </row>
    <row r="71" spans="1:3" x14ac:dyDescent="0.25">
      <c r="A71" t="s">
        <v>555</v>
      </c>
      <c r="B71">
        <f t="shared" si="5"/>
        <v>0.71</v>
      </c>
      <c r="C71">
        <v>0.89</v>
      </c>
    </row>
    <row r="72" spans="1:3" x14ac:dyDescent="0.25">
      <c r="A72" t="s">
        <v>556</v>
      </c>
      <c r="B72">
        <f t="shared" si="5"/>
        <v>0.7</v>
      </c>
      <c r="C72">
        <v>0.87</v>
      </c>
    </row>
    <row r="73" spans="1:3" x14ac:dyDescent="0.25">
      <c r="A73" t="s">
        <v>557</v>
      </c>
      <c r="B73">
        <f t="shared" si="5"/>
        <v>0.8</v>
      </c>
      <c r="C73">
        <v>1</v>
      </c>
    </row>
    <row r="75" spans="1:3" x14ac:dyDescent="0.25">
      <c r="A75" t="s">
        <v>558</v>
      </c>
    </row>
    <row r="76" spans="1:3" x14ac:dyDescent="0.25">
      <c r="A76" t="s">
        <v>559</v>
      </c>
      <c r="B76">
        <v>0.9</v>
      </c>
    </row>
    <row r="77" spans="1:3" x14ac:dyDescent="0.25">
      <c r="A77" t="s">
        <v>560</v>
      </c>
      <c r="B77">
        <v>0.95</v>
      </c>
    </row>
    <row r="78" spans="1:3" x14ac:dyDescent="0.25">
      <c r="A78" t="s">
        <v>278</v>
      </c>
      <c r="B78">
        <v>0.98</v>
      </c>
    </row>
    <row r="79" spans="1:3" x14ac:dyDescent="0.25">
      <c r="A79" t="s">
        <v>561</v>
      </c>
      <c r="B79">
        <v>1</v>
      </c>
    </row>
    <row r="81" spans="1:3" x14ac:dyDescent="0.25">
      <c r="A81" t="s">
        <v>280</v>
      </c>
    </row>
    <row r="82" spans="1:3" x14ac:dyDescent="0.25">
      <c r="A82" t="s">
        <v>562</v>
      </c>
      <c r="B82">
        <v>0.9</v>
      </c>
    </row>
    <row r="83" spans="1:3" x14ac:dyDescent="0.25">
      <c r="A83" t="s">
        <v>281</v>
      </c>
      <c r="B83">
        <v>0.95</v>
      </c>
    </row>
    <row r="84" spans="1:3" x14ac:dyDescent="0.25">
      <c r="A84" t="s">
        <v>386</v>
      </c>
      <c r="B84">
        <v>0.98</v>
      </c>
    </row>
    <row r="86" spans="1:3" x14ac:dyDescent="0.25">
      <c r="A86" t="s">
        <v>563</v>
      </c>
    </row>
    <row r="87" spans="1:3" x14ac:dyDescent="0.25">
      <c r="A87" t="s">
        <v>564</v>
      </c>
      <c r="B87">
        <v>0.85</v>
      </c>
    </row>
    <row r="88" spans="1:3" x14ac:dyDescent="0.25">
      <c r="A88" t="s">
        <v>284</v>
      </c>
      <c r="B88">
        <v>0.9</v>
      </c>
    </row>
    <row r="89" spans="1:3" x14ac:dyDescent="0.25">
      <c r="A89" t="s">
        <v>387</v>
      </c>
      <c r="B89">
        <v>0.95</v>
      </c>
    </row>
    <row r="91" spans="1:3" x14ac:dyDescent="0.25">
      <c r="A91" s="10" t="s">
        <v>300</v>
      </c>
    </row>
    <row r="92" spans="1:3" x14ac:dyDescent="0.25">
      <c r="A92" s="10" t="s">
        <v>343</v>
      </c>
      <c r="B92">
        <v>10</v>
      </c>
    </row>
    <row r="93" spans="1:3" x14ac:dyDescent="0.25">
      <c r="A93" s="10" t="s">
        <v>565</v>
      </c>
      <c r="B93">
        <v>5</v>
      </c>
    </row>
    <row r="94" spans="1:3" x14ac:dyDescent="0.25">
      <c r="A94" s="10" t="s">
        <v>347</v>
      </c>
      <c r="B94">
        <v>0</v>
      </c>
    </row>
    <row r="95" spans="1:3" x14ac:dyDescent="0.25">
      <c r="A95" s="10" t="s">
        <v>566</v>
      </c>
      <c r="B95">
        <v>10</v>
      </c>
    </row>
    <row r="96" spans="1:3" x14ac:dyDescent="0.25">
      <c r="C96" t="s">
        <v>567</v>
      </c>
    </row>
    <row r="97" spans="1:3" x14ac:dyDescent="0.25">
      <c r="A97" s="10" t="s">
        <v>342</v>
      </c>
      <c r="B97">
        <f>VLOOKUP('Situation rénovée'!D97,Données!$A$92:$B$95,2,0)</f>
        <v>10</v>
      </c>
      <c r="C97">
        <v>10</v>
      </c>
    </row>
    <row r="98" spans="1:3" x14ac:dyDescent="0.25">
      <c r="A98" s="10" t="s">
        <v>344</v>
      </c>
      <c r="B98">
        <f>VLOOKUP('Situation rénovée'!D98,Données!$A$92:$B$95,2,0)</f>
        <v>10</v>
      </c>
      <c r="C98">
        <v>10</v>
      </c>
    </row>
    <row r="99" spans="1:3" x14ac:dyDescent="0.25">
      <c r="A99" s="10" t="s">
        <v>345</v>
      </c>
      <c r="B99">
        <f>VLOOKUP('Situation rénovée'!D99,Données!$A$92:$B$95,2,0)</f>
        <v>10</v>
      </c>
      <c r="C99">
        <v>10</v>
      </c>
    </row>
    <row r="100" spans="1:3" x14ac:dyDescent="0.25">
      <c r="A100" s="10" t="s">
        <v>346</v>
      </c>
      <c r="B100">
        <f>VLOOKUP('Situation rénovée'!D100,Données!$A$92:$B$95,2,0)</f>
        <v>0</v>
      </c>
      <c r="C100">
        <v>5</v>
      </c>
    </row>
    <row r="101" spans="1:3" x14ac:dyDescent="0.25">
      <c r="A101" s="10" t="s">
        <v>348</v>
      </c>
      <c r="B101">
        <f>VLOOKUP('Situation rénovée'!D101,Données!$A$92:$B$95,2,0)</f>
        <v>0</v>
      </c>
      <c r="C101">
        <v>5</v>
      </c>
    </row>
    <row r="102" spans="1:3" x14ac:dyDescent="0.25">
      <c r="A102" s="10" t="s">
        <v>568</v>
      </c>
      <c r="B102">
        <f>SUM(B97:B101)/5</f>
        <v>6</v>
      </c>
      <c r="C102">
        <f>SUMPRODUCT(B97:B101,C97:C101)/40</f>
        <v>7.5</v>
      </c>
    </row>
    <row r="103" spans="1:3" x14ac:dyDescent="0.25">
      <c r="A103" s="10"/>
    </row>
    <row r="104" spans="1:3" x14ac:dyDescent="0.25">
      <c r="A104" s="10" t="s">
        <v>569</v>
      </c>
    </row>
    <row r="105" spans="1:3" x14ac:dyDescent="0.25">
      <c r="A105" s="10" t="s">
        <v>568</v>
      </c>
      <c r="B105" t="s">
        <v>570</v>
      </c>
    </row>
    <row r="106" spans="1:3" x14ac:dyDescent="0.25">
      <c r="A106">
        <v>10</v>
      </c>
      <c r="B106">
        <v>0</v>
      </c>
    </row>
    <row r="107" spans="1:3" x14ac:dyDescent="0.25">
      <c r="A107">
        <v>0</v>
      </c>
      <c r="B107">
        <v>10</v>
      </c>
    </row>
    <row r="110" spans="1:3" x14ac:dyDescent="0.25">
      <c r="A110" s="10" t="s">
        <v>219</v>
      </c>
      <c r="B110">
        <v>0</v>
      </c>
    </row>
    <row r="111" spans="1:3" x14ac:dyDescent="0.25">
      <c r="A111" s="10" t="s">
        <v>571</v>
      </c>
      <c r="B111">
        <v>0.5</v>
      </c>
    </row>
    <row r="112" spans="1:3" x14ac:dyDescent="0.25">
      <c r="A112" s="10" t="s">
        <v>382</v>
      </c>
      <c r="B112">
        <v>1</v>
      </c>
    </row>
    <row r="115" spans="1:2" x14ac:dyDescent="0.25">
      <c r="A115" s="10" t="s">
        <v>572</v>
      </c>
      <c r="B115" s="10" t="s">
        <v>413</v>
      </c>
    </row>
    <row r="116" spans="1:2" x14ac:dyDescent="0.25">
      <c r="B116" s="10" t="s">
        <v>439</v>
      </c>
    </row>
    <row r="119" spans="1:2" x14ac:dyDescent="0.25">
      <c r="A119" s="10" t="s">
        <v>573</v>
      </c>
    </row>
    <row r="120" spans="1:2" x14ac:dyDescent="0.25">
      <c r="A120" s="10" t="s">
        <v>574</v>
      </c>
    </row>
    <row r="121" spans="1:2" x14ac:dyDescent="0.25">
      <c r="A121" s="10" t="s">
        <v>575</v>
      </c>
    </row>
  </sheetData>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B3:D57"/>
  <sheetViews>
    <sheetView showGridLines="0" workbookViewId="0">
      <selection activeCell="D50" sqref="D50"/>
    </sheetView>
  </sheetViews>
  <sheetFormatPr baseColWidth="10" defaultColWidth="11.453125" defaultRowHeight="12.5" x14ac:dyDescent="0.25"/>
  <cols>
    <col min="1" max="1" width="4.81640625" customWidth="1"/>
    <col min="2" max="2" width="47.26953125" customWidth="1"/>
    <col min="3" max="3" width="18.26953125" customWidth="1"/>
  </cols>
  <sheetData>
    <row r="3" spans="2:4" x14ac:dyDescent="0.25">
      <c r="B3" t="s">
        <v>576</v>
      </c>
    </row>
    <row r="4" spans="2:4" x14ac:dyDescent="0.25">
      <c r="B4" t="s">
        <v>577</v>
      </c>
    </row>
    <row r="5" spans="2:4" x14ac:dyDescent="0.25">
      <c r="B5" t="s">
        <v>578</v>
      </c>
    </row>
    <row r="6" spans="2:4" x14ac:dyDescent="0.25">
      <c r="B6" s="179" t="s">
        <v>579</v>
      </c>
    </row>
    <row r="8" spans="2:4" ht="13" x14ac:dyDescent="0.3">
      <c r="B8" s="27" t="s">
        <v>580</v>
      </c>
      <c r="C8" s="30" t="s">
        <v>581</v>
      </c>
      <c r="D8" s="27" t="s">
        <v>582</v>
      </c>
    </row>
    <row r="9" spans="2:4" ht="13" x14ac:dyDescent="0.3">
      <c r="B9" s="31" t="s">
        <v>583</v>
      </c>
      <c r="C9" s="196" t="s">
        <v>584</v>
      </c>
    </row>
    <row r="10" spans="2:4" ht="13" x14ac:dyDescent="0.3">
      <c r="B10" t="s">
        <v>585</v>
      </c>
      <c r="C10" s="45">
        <v>6</v>
      </c>
      <c r="D10" s="45">
        <v>0.87</v>
      </c>
    </row>
    <row r="11" spans="2:4" ht="13" x14ac:dyDescent="0.3">
      <c r="B11" t="s">
        <v>586</v>
      </c>
      <c r="C11" s="45">
        <v>3</v>
      </c>
      <c r="D11" s="45">
        <v>0.77</v>
      </c>
    </row>
    <row r="12" spans="2:4" ht="13" x14ac:dyDescent="0.3">
      <c r="B12" t="s">
        <v>587</v>
      </c>
      <c r="C12" s="45">
        <v>1.5</v>
      </c>
      <c r="D12" s="45">
        <v>0.64</v>
      </c>
    </row>
    <row r="13" spans="2:4" ht="13" x14ac:dyDescent="0.3">
      <c r="B13" s="10" t="s">
        <v>588</v>
      </c>
      <c r="C13" s="45">
        <v>0.8</v>
      </c>
      <c r="D13" s="45">
        <v>0.5</v>
      </c>
    </row>
    <row r="14" spans="2:4" ht="13" x14ac:dyDescent="0.3">
      <c r="C14" s="145"/>
    </row>
    <row r="15" spans="2:4" ht="13" x14ac:dyDescent="0.3">
      <c r="B15" t="s">
        <v>589</v>
      </c>
      <c r="C15" s="45">
        <v>2.5</v>
      </c>
    </row>
    <row r="16" spans="2:4" ht="13" x14ac:dyDescent="0.3">
      <c r="B16" t="s">
        <v>590</v>
      </c>
      <c r="C16" s="45">
        <v>1.5</v>
      </c>
    </row>
    <row r="17" spans="2:3" ht="13" x14ac:dyDescent="0.3">
      <c r="C17" s="145"/>
    </row>
    <row r="18" spans="2:3" ht="13" x14ac:dyDescent="0.3">
      <c r="B18" s="31" t="s">
        <v>591</v>
      </c>
      <c r="C18" s="197" t="s">
        <v>592</v>
      </c>
    </row>
    <row r="19" spans="2:3" ht="13" x14ac:dyDescent="0.3">
      <c r="B19" t="s">
        <v>593</v>
      </c>
      <c r="C19" s="45">
        <v>2.2000000000000002</v>
      </c>
    </row>
    <row r="20" spans="2:3" ht="13" x14ac:dyDescent="0.3">
      <c r="B20" t="s">
        <v>594</v>
      </c>
      <c r="C20" s="45">
        <v>1.8</v>
      </c>
    </row>
    <row r="21" spans="2:3" ht="13" x14ac:dyDescent="0.3">
      <c r="B21" t="s">
        <v>595</v>
      </c>
      <c r="C21" s="45">
        <v>1.7</v>
      </c>
    </row>
    <row r="22" spans="2:3" ht="13" x14ac:dyDescent="0.3">
      <c r="B22" s="10" t="s">
        <v>596</v>
      </c>
      <c r="C22" s="45">
        <v>0.45</v>
      </c>
    </row>
    <row r="23" spans="2:3" ht="13" x14ac:dyDescent="0.3">
      <c r="B23" t="s">
        <v>597</v>
      </c>
      <c r="C23" s="45">
        <v>1.8</v>
      </c>
    </row>
    <row r="24" spans="2:3" ht="13" x14ac:dyDescent="0.3">
      <c r="B24" s="10" t="s">
        <v>598</v>
      </c>
      <c r="C24" s="45">
        <v>0.5</v>
      </c>
    </row>
    <row r="25" spans="2:3" ht="13" x14ac:dyDescent="0.3">
      <c r="B25" t="s">
        <v>599</v>
      </c>
      <c r="C25" s="45">
        <f>ROUND(1/(0.17+0.3/3.49),1)</f>
        <v>3.9</v>
      </c>
    </row>
    <row r="26" spans="2:3" ht="13" x14ac:dyDescent="0.3">
      <c r="B26" t="s">
        <v>600</v>
      </c>
      <c r="C26" s="45">
        <f>ROUND(1/(0.17+0.4/3.49),1)</f>
        <v>3.5</v>
      </c>
    </row>
    <row r="27" spans="2:3" ht="13" x14ac:dyDescent="0.3">
      <c r="B27" t="s">
        <v>601</v>
      </c>
      <c r="C27" s="45">
        <f>ROUND(1/(0.17+0.5/3.49),1)</f>
        <v>3.2</v>
      </c>
    </row>
    <row r="28" spans="2:3" ht="13" x14ac:dyDescent="0.3">
      <c r="B28" t="s">
        <v>602</v>
      </c>
      <c r="C28" s="45">
        <f>ROUND(1/(0.17+0.6/3.49),1)</f>
        <v>2.9</v>
      </c>
    </row>
    <row r="29" spans="2:3" ht="13" x14ac:dyDescent="0.3">
      <c r="B29" t="s">
        <v>603</v>
      </c>
      <c r="C29" s="45">
        <f>ROUND(1/(0.17+0.25/0.19),1)</f>
        <v>0.7</v>
      </c>
    </row>
    <row r="30" spans="2:3" ht="13" x14ac:dyDescent="0.3">
      <c r="B30" t="s">
        <v>604</v>
      </c>
      <c r="C30" s="45">
        <f>ROUND(1/(0.17+0.3/0.19),1)</f>
        <v>0.6</v>
      </c>
    </row>
    <row r="31" spans="2:3" ht="13" x14ac:dyDescent="0.3">
      <c r="B31" t="s">
        <v>605</v>
      </c>
      <c r="C31" s="45">
        <f>ROUND(1/(0.17+0.35/0.19),1)</f>
        <v>0.5</v>
      </c>
    </row>
    <row r="32" spans="2:3" ht="13" x14ac:dyDescent="0.3">
      <c r="B32" s="10" t="s">
        <v>606</v>
      </c>
      <c r="C32" s="45">
        <v>0.24</v>
      </c>
    </row>
    <row r="33" spans="2:4" ht="13" x14ac:dyDescent="0.3">
      <c r="B33" s="10" t="s">
        <v>607</v>
      </c>
      <c r="C33" s="45">
        <v>0.15</v>
      </c>
    </row>
    <row r="34" spans="2:4" ht="13" x14ac:dyDescent="0.3">
      <c r="C34" s="145"/>
    </row>
    <row r="35" spans="2:4" ht="13" x14ac:dyDescent="0.3">
      <c r="B35" t="s">
        <v>608</v>
      </c>
      <c r="C35" s="45">
        <v>2.8</v>
      </c>
    </row>
    <row r="36" spans="2:4" ht="13" x14ac:dyDescent="0.3">
      <c r="B36" s="10" t="s">
        <v>609</v>
      </c>
      <c r="C36" s="45">
        <v>0.45</v>
      </c>
    </row>
    <row r="37" spans="2:4" ht="13" x14ac:dyDescent="0.3">
      <c r="B37" t="s">
        <v>610</v>
      </c>
      <c r="C37" s="45">
        <v>0.6</v>
      </c>
    </row>
    <row r="38" spans="2:4" ht="13" x14ac:dyDescent="0.3">
      <c r="B38" t="s">
        <v>611</v>
      </c>
      <c r="C38" s="45">
        <v>0.45</v>
      </c>
    </row>
    <row r="39" spans="2:4" ht="13" x14ac:dyDescent="0.3">
      <c r="B39" t="s">
        <v>612</v>
      </c>
      <c r="C39" s="45">
        <v>0.37</v>
      </c>
    </row>
    <row r="40" spans="2:4" ht="13" x14ac:dyDescent="0.3">
      <c r="B40" s="10" t="s">
        <v>613</v>
      </c>
      <c r="C40" s="45">
        <v>0.24</v>
      </c>
    </row>
    <row r="41" spans="2:4" ht="13" x14ac:dyDescent="0.3">
      <c r="B41" s="10" t="s">
        <v>614</v>
      </c>
      <c r="C41" s="45">
        <v>0.1</v>
      </c>
    </row>
    <row r="42" spans="2:4" ht="13" x14ac:dyDescent="0.3">
      <c r="B42" t="s">
        <v>615</v>
      </c>
      <c r="C42" s="45">
        <v>1.7</v>
      </c>
    </row>
    <row r="43" spans="2:4" ht="13" x14ac:dyDescent="0.3">
      <c r="B43" s="10" t="s">
        <v>616</v>
      </c>
      <c r="C43" s="45">
        <v>0.4</v>
      </c>
    </row>
    <row r="44" spans="2:4" ht="13" x14ac:dyDescent="0.3">
      <c r="B44" t="s">
        <v>617</v>
      </c>
      <c r="C44" s="45">
        <v>2.6</v>
      </c>
    </row>
    <row r="45" spans="2:4" ht="13" x14ac:dyDescent="0.3">
      <c r="B45" s="10" t="s">
        <v>618</v>
      </c>
      <c r="C45" s="45">
        <v>0.4</v>
      </c>
    </row>
    <row r="46" spans="2:4" ht="13" x14ac:dyDescent="0.3">
      <c r="C46" s="145"/>
    </row>
    <row r="47" spans="2:4" ht="13" x14ac:dyDescent="0.3">
      <c r="B47" t="s">
        <v>619</v>
      </c>
      <c r="C47" s="45">
        <v>2</v>
      </c>
    </row>
    <row r="48" spans="2:4" ht="13" x14ac:dyDescent="0.3">
      <c r="B48" t="s">
        <v>620</v>
      </c>
      <c r="C48" s="45">
        <v>3.2</v>
      </c>
      <c r="D48" s="211" t="s">
        <v>621</v>
      </c>
    </row>
    <row r="49" spans="2:4" ht="13" x14ac:dyDescent="0.3">
      <c r="B49" s="10" t="s">
        <v>622</v>
      </c>
      <c r="C49" s="45">
        <v>0.7</v>
      </c>
    </row>
    <row r="50" spans="2:4" ht="13" x14ac:dyDescent="0.3">
      <c r="B50" s="10" t="s">
        <v>623</v>
      </c>
      <c r="C50" s="45">
        <v>0.9</v>
      </c>
      <c r="D50" s="211" t="s">
        <v>621</v>
      </c>
    </row>
    <row r="51" spans="2:4" ht="13" x14ac:dyDescent="0.3">
      <c r="B51" s="10" t="s">
        <v>624</v>
      </c>
      <c r="C51" s="45">
        <v>0.3</v>
      </c>
    </row>
    <row r="52" spans="2:4" ht="13" x14ac:dyDescent="0.3">
      <c r="B52" s="10" t="s">
        <v>625</v>
      </c>
      <c r="C52" s="45">
        <v>0.3</v>
      </c>
    </row>
    <row r="53" spans="2:4" ht="13" x14ac:dyDescent="0.3">
      <c r="B53" s="10" t="s">
        <v>626</v>
      </c>
      <c r="C53" s="45">
        <v>0.15</v>
      </c>
    </row>
    <row r="56" spans="2:4" ht="13" x14ac:dyDescent="0.3">
      <c r="C56" s="31" t="s">
        <v>627</v>
      </c>
    </row>
    <row r="57" spans="2:4" ht="13" x14ac:dyDescent="0.3">
      <c r="C57" s="31" t="s">
        <v>628</v>
      </c>
    </row>
  </sheetData>
  <phoneticPr fontId="14" type="noConversion"/>
  <hyperlinks>
    <hyperlink ref="B6" r:id="rId1" xr:uid="{46A66199-9B6D-4890-96EB-FB195392BF69}"/>
    <hyperlink ref="C9" r:id="rId2" xr:uid="{7AE9D6BE-75C1-426B-9493-958F7DAFDC28}"/>
    <hyperlink ref="C18" r:id="rId3" xr:uid="{5B0FD3B0-564F-4404-898D-D4BAB59547FC}"/>
  </hyperlinks>
  <pageMargins left="0.78740157499999996" right="0.78740157499999996" top="0.984251969" bottom="0.984251969" header="0.4921259845" footer="0.4921259845"/>
  <headerFooter alignWithMargins="0"/>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S5572"/>
  <sheetViews>
    <sheetView topLeftCell="A2749" workbookViewId="0">
      <selection activeCell="A2" sqref="A2:A2791"/>
    </sheetView>
  </sheetViews>
  <sheetFormatPr baseColWidth="10" defaultColWidth="11.453125" defaultRowHeight="12.5" x14ac:dyDescent="0.25"/>
  <cols>
    <col min="6" max="6" width="23.1796875" customWidth="1"/>
    <col min="8" max="8" width="11.453125" style="44" customWidth="1"/>
  </cols>
  <sheetData>
    <row r="1" spans="1:19" x14ac:dyDescent="0.25">
      <c r="A1" t="s">
        <v>183</v>
      </c>
      <c r="B1" s="33" t="s">
        <v>629</v>
      </c>
      <c r="D1" t="s">
        <v>535</v>
      </c>
      <c r="E1">
        <v>72</v>
      </c>
    </row>
    <row r="2" spans="1:19" x14ac:dyDescent="0.25">
      <c r="A2" t="s">
        <v>630</v>
      </c>
      <c r="B2" s="44">
        <v>2087</v>
      </c>
      <c r="C2">
        <v>-8</v>
      </c>
    </row>
    <row r="3" spans="1:19" x14ac:dyDescent="0.25">
      <c r="A3" t="s">
        <v>631</v>
      </c>
      <c r="B3" s="44">
        <v>1988.9109999999998</v>
      </c>
      <c r="C3">
        <v>-8</v>
      </c>
      <c r="F3" s="10" t="s">
        <v>632</v>
      </c>
      <c r="G3">
        <f>MAX(C2:C2791)</f>
        <v>-7</v>
      </c>
    </row>
    <row r="4" spans="1:19" x14ac:dyDescent="0.25">
      <c r="A4" t="s">
        <v>633</v>
      </c>
      <c r="B4" s="44">
        <v>2087</v>
      </c>
      <c r="C4">
        <v>-8</v>
      </c>
      <c r="F4" s="10" t="s">
        <v>634</v>
      </c>
      <c r="G4">
        <f>MIN(C2:C2791)</f>
        <v>-12</v>
      </c>
    </row>
    <row r="5" spans="1:19" x14ac:dyDescent="0.25">
      <c r="A5" t="s">
        <v>633</v>
      </c>
      <c r="B5" s="44">
        <v>2087</v>
      </c>
      <c r="C5">
        <v>-8</v>
      </c>
    </row>
    <row r="6" spans="1:19" x14ac:dyDescent="0.25">
      <c r="A6" t="s">
        <v>635</v>
      </c>
      <c r="B6" s="44">
        <v>1988.9109999999998</v>
      </c>
      <c r="C6">
        <v>-8</v>
      </c>
    </row>
    <row r="7" spans="1:19" x14ac:dyDescent="0.25">
      <c r="A7" t="s">
        <v>636</v>
      </c>
      <c r="B7" s="44">
        <v>2087</v>
      </c>
      <c r="C7">
        <v>-8</v>
      </c>
      <c r="H7" s="125" t="s">
        <v>487</v>
      </c>
      <c r="I7" s="125" t="s">
        <v>352</v>
      </c>
      <c r="J7" s="125" t="s">
        <v>353</v>
      </c>
      <c r="K7" s="125" t="s">
        <v>354</v>
      </c>
      <c r="L7" s="125" t="s">
        <v>355</v>
      </c>
      <c r="M7" s="125" t="s">
        <v>356</v>
      </c>
      <c r="N7" s="125" t="s">
        <v>357</v>
      </c>
      <c r="O7" s="125" t="s">
        <v>488</v>
      </c>
      <c r="P7" s="125" t="s">
        <v>359</v>
      </c>
      <c r="Q7" s="125" t="s">
        <v>360</v>
      </c>
      <c r="R7" s="125" t="s">
        <v>361</v>
      </c>
      <c r="S7" s="125" t="s">
        <v>362</v>
      </c>
    </row>
    <row r="8" spans="1:19" x14ac:dyDescent="0.25">
      <c r="A8" t="s">
        <v>637</v>
      </c>
      <c r="B8" s="44">
        <v>1988.9109999999998</v>
      </c>
      <c r="C8">
        <v>-8</v>
      </c>
      <c r="F8" s="10" t="s">
        <v>638</v>
      </c>
      <c r="G8">
        <f>SUM(H8:S8)</f>
        <v>1835.0000000000002</v>
      </c>
      <c r="H8" s="207">
        <v>348.3</v>
      </c>
      <c r="I8" s="207">
        <v>301.89999999999998</v>
      </c>
      <c r="J8" s="207">
        <v>242.1</v>
      </c>
      <c r="K8" s="207">
        <v>143.80000000000001</v>
      </c>
      <c r="L8" s="207">
        <v>68</v>
      </c>
      <c r="M8" s="207">
        <v>18.5</v>
      </c>
      <c r="N8" s="207">
        <v>2.9</v>
      </c>
      <c r="O8" s="207">
        <v>3.5</v>
      </c>
      <c r="P8" s="207">
        <v>27.4</v>
      </c>
      <c r="Q8" s="207">
        <v>116.5</v>
      </c>
      <c r="R8" s="207">
        <v>232.1</v>
      </c>
      <c r="S8" s="207">
        <v>330</v>
      </c>
    </row>
    <row r="9" spans="1:19" x14ac:dyDescent="0.25">
      <c r="A9" t="s">
        <v>639</v>
      </c>
      <c r="B9" s="44">
        <v>1988.9109999999998</v>
      </c>
      <c r="C9">
        <v>-8</v>
      </c>
    </row>
    <row r="10" spans="1:19" x14ac:dyDescent="0.25">
      <c r="A10" t="s">
        <v>640</v>
      </c>
      <c r="B10" s="44">
        <v>1988.9109999999998</v>
      </c>
      <c r="C10">
        <v>-8</v>
      </c>
      <c r="F10" s="10" t="s">
        <v>487</v>
      </c>
    </row>
    <row r="11" spans="1:19" x14ac:dyDescent="0.25">
      <c r="A11" t="s">
        <v>641</v>
      </c>
      <c r="B11" s="44">
        <v>2281.0909999999999</v>
      </c>
      <c r="C11">
        <v>-10</v>
      </c>
      <c r="F11" s="10" t="s">
        <v>352</v>
      </c>
    </row>
    <row r="12" spans="1:19" x14ac:dyDescent="0.25">
      <c r="A12" t="s">
        <v>642</v>
      </c>
      <c r="B12" s="44">
        <v>2087</v>
      </c>
      <c r="C12">
        <v>-9</v>
      </c>
      <c r="F12" s="10" t="s">
        <v>353</v>
      </c>
    </row>
    <row r="13" spans="1:19" x14ac:dyDescent="0.25">
      <c r="A13" t="s">
        <v>643</v>
      </c>
      <c r="B13" s="44">
        <v>2185.0889999999999</v>
      </c>
      <c r="C13">
        <v>-9</v>
      </c>
      <c r="F13" s="10" t="s">
        <v>354</v>
      </c>
    </row>
    <row r="14" spans="1:19" x14ac:dyDescent="0.25">
      <c r="A14" t="s">
        <v>644</v>
      </c>
      <c r="B14" s="44">
        <v>2281.0909999999999</v>
      </c>
      <c r="C14">
        <v>-10</v>
      </c>
      <c r="F14" s="10" t="s">
        <v>355</v>
      </c>
    </row>
    <row r="15" spans="1:19" x14ac:dyDescent="0.25">
      <c r="A15" t="s">
        <v>645</v>
      </c>
      <c r="B15" s="44">
        <v>2281.0909999999999</v>
      </c>
      <c r="C15">
        <v>-10</v>
      </c>
      <c r="F15" s="10" t="s">
        <v>356</v>
      </c>
    </row>
    <row r="16" spans="1:19" x14ac:dyDescent="0.25">
      <c r="A16" t="s">
        <v>646</v>
      </c>
      <c r="B16" s="44">
        <v>2185.0889999999999</v>
      </c>
      <c r="C16">
        <v>-9</v>
      </c>
      <c r="F16" s="10" t="s">
        <v>357</v>
      </c>
    </row>
    <row r="17" spans="1:6" x14ac:dyDescent="0.25">
      <c r="A17" t="s">
        <v>647</v>
      </c>
      <c r="B17" s="44">
        <v>2281.0909999999999</v>
      </c>
      <c r="C17">
        <v>-9</v>
      </c>
      <c r="F17" s="10" t="s">
        <v>488</v>
      </c>
    </row>
    <row r="18" spans="1:6" x14ac:dyDescent="0.25">
      <c r="A18" t="s">
        <v>648</v>
      </c>
      <c r="B18" s="44">
        <v>1988.9109999999998</v>
      </c>
      <c r="C18">
        <v>-8</v>
      </c>
      <c r="F18" s="10" t="s">
        <v>359</v>
      </c>
    </row>
    <row r="19" spans="1:6" x14ac:dyDescent="0.25">
      <c r="A19" t="s">
        <v>649</v>
      </c>
      <c r="B19" s="44">
        <v>1892.9090000000001</v>
      </c>
      <c r="C19">
        <v>-7</v>
      </c>
      <c r="F19" s="10" t="s">
        <v>360</v>
      </c>
    </row>
    <row r="20" spans="1:6" x14ac:dyDescent="0.25">
      <c r="A20" t="s">
        <v>650</v>
      </c>
      <c r="B20" s="44">
        <v>2087</v>
      </c>
      <c r="C20">
        <v>-8</v>
      </c>
      <c r="F20" s="10" t="s">
        <v>361</v>
      </c>
    </row>
    <row r="21" spans="1:6" x14ac:dyDescent="0.25">
      <c r="A21" t="s">
        <v>651</v>
      </c>
      <c r="B21" s="44">
        <v>1988.9109999999998</v>
      </c>
      <c r="C21">
        <v>-8</v>
      </c>
      <c r="F21" s="10" t="s">
        <v>362</v>
      </c>
    </row>
    <row r="22" spans="1:6" x14ac:dyDescent="0.25">
      <c r="A22" t="s">
        <v>652</v>
      </c>
      <c r="B22" s="44">
        <v>2379.1800000000003</v>
      </c>
      <c r="C22">
        <v>-10</v>
      </c>
      <c r="F22" s="10"/>
    </row>
    <row r="23" spans="1:6" x14ac:dyDescent="0.25">
      <c r="A23" t="s">
        <v>653</v>
      </c>
      <c r="B23" s="44">
        <v>2185.0889999999999</v>
      </c>
      <c r="C23">
        <v>-9</v>
      </c>
      <c r="F23" s="10"/>
    </row>
    <row r="24" spans="1:6" x14ac:dyDescent="0.25">
      <c r="A24" t="s">
        <v>654</v>
      </c>
      <c r="B24" s="44">
        <v>2185.0889999999999</v>
      </c>
      <c r="C24">
        <v>-9</v>
      </c>
      <c r="F24" s="10"/>
    </row>
    <row r="25" spans="1:6" x14ac:dyDescent="0.25">
      <c r="A25" t="s">
        <v>655</v>
      </c>
      <c r="B25" s="44">
        <v>2281.0909999999999</v>
      </c>
      <c r="C25">
        <v>-9</v>
      </c>
      <c r="F25" s="10"/>
    </row>
    <row r="26" spans="1:6" x14ac:dyDescent="0.25">
      <c r="A26" t="s">
        <v>656</v>
      </c>
      <c r="B26" s="44">
        <v>2281.0909999999999</v>
      </c>
      <c r="C26">
        <v>-9</v>
      </c>
      <c r="F26" s="10"/>
    </row>
    <row r="27" spans="1:6" x14ac:dyDescent="0.25">
      <c r="A27" t="s">
        <v>657</v>
      </c>
      <c r="B27" s="44">
        <v>2281.0909999999999</v>
      </c>
      <c r="C27">
        <v>-9</v>
      </c>
      <c r="F27" s="10"/>
    </row>
    <row r="28" spans="1:6" x14ac:dyDescent="0.25">
      <c r="A28" t="s">
        <v>658</v>
      </c>
      <c r="B28" s="44">
        <v>2087</v>
      </c>
      <c r="C28">
        <v>-8</v>
      </c>
      <c r="F28" s="10"/>
    </row>
    <row r="29" spans="1:6" x14ac:dyDescent="0.25">
      <c r="A29" t="s">
        <v>659</v>
      </c>
      <c r="B29" s="44">
        <v>2790.319</v>
      </c>
      <c r="C29">
        <v>-11</v>
      </c>
      <c r="F29" s="10"/>
    </row>
    <row r="30" spans="1:6" x14ac:dyDescent="0.25">
      <c r="A30" t="s">
        <v>660</v>
      </c>
      <c r="B30" s="44">
        <v>2185.0889999999999</v>
      </c>
      <c r="C30">
        <v>-9</v>
      </c>
      <c r="F30" s="10"/>
    </row>
    <row r="31" spans="1:6" x14ac:dyDescent="0.25">
      <c r="A31" t="s">
        <v>661</v>
      </c>
      <c r="B31" s="44">
        <v>2087</v>
      </c>
      <c r="C31">
        <v>-8</v>
      </c>
      <c r="F31" s="10"/>
    </row>
    <row r="32" spans="1:6" x14ac:dyDescent="0.25">
      <c r="A32" t="s">
        <v>662</v>
      </c>
      <c r="B32" s="44">
        <v>1892.9090000000001</v>
      </c>
      <c r="C32">
        <v>-8</v>
      </c>
    </row>
    <row r="33" spans="1:3" x14ac:dyDescent="0.25">
      <c r="A33" t="s">
        <v>663</v>
      </c>
      <c r="B33" s="44">
        <v>2281.0909999999999</v>
      </c>
      <c r="C33">
        <v>-9</v>
      </c>
    </row>
    <row r="34" spans="1:3" x14ac:dyDescent="0.25">
      <c r="A34" t="s">
        <v>664</v>
      </c>
      <c r="B34" s="44">
        <v>2548.2270000000003</v>
      </c>
      <c r="C34">
        <v>-11</v>
      </c>
    </row>
    <row r="35" spans="1:3" x14ac:dyDescent="0.25">
      <c r="A35" t="s">
        <v>665</v>
      </c>
      <c r="B35" s="44">
        <v>2379.1800000000003</v>
      </c>
      <c r="C35">
        <v>-10</v>
      </c>
    </row>
    <row r="36" spans="1:3" x14ac:dyDescent="0.25">
      <c r="A36" t="s">
        <v>666</v>
      </c>
      <c r="B36" s="44">
        <v>2185.0889999999999</v>
      </c>
      <c r="C36">
        <v>-9</v>
      </c>
    </row>
    <row r="37" spans="1:3" x14ac:dyDescent="0.25">
      <c r="A37" t="s">
        <v>667</v>
      </c>
      <c r="B37" s="44">
        <v>2961.453</v>
      </c>
      <c r="C37">
        <v>-11</v>
      </c>
    </row>
    <row r="38" spans="1:3" x14ac:dyDescent="0.25">
      <c r="A38" t="s">
        <v>668</v>
      </c>
      <c r="B38" s="44">
        <v>2379.1800000000003</v>
      </c>
      <c r="C38">
        <v>-10</v>
      </c>
    </row>
    <row r="39" spans="1:3" x14ac:dyDescent="0.25">
      <c r="A39" t="s">
        <v>669</v>
      </c>
      <c r="B39" s="44">
        <v>2087</v>
      </c>
      <c r="C39">
        <v>-8</v>
      </c>
    </row>
    <row r="40" spans="1:3" x14ac:dyDescent="0.25">
      <c r="A40" t="s">
        <v>670</v>
      </c>
      <c r="B40" s="44">
        <v>2281.0909999999999</v>
      </c>
      <c r="C40">
        <v>-9</v>
      </c>
    </row>
    <row r="41" spans="1:3" x14ac:dyDescent="0.25">
      <c r="A41" t="s">
        <v>671</v>
      </c>
      <c r="B41" s="44">
        <v>2281.0909999999999</v>
      </c>
      <c r="C41">
        <v>-9</v>
      </c>
    </row>
    <row r="42" spans="1:3" x14ac:dyDescent="0.25">
      <c r="A42" t="s">
        <v>672</v>
      </c>
      <c r="B42" s="44">
        <v>2087</v>
      </c>
      <c r="C42">
        <v>-8</v>
      </c>
    </row>
    <row r="43" spans="1:3" x14ac:dyDescent="0.25">
      <c r="A43" t="s">
        <v>673</v>
      </c>
      <c r="B43" s="44">
        <v>2185.0889999999999</v>
      </c>
      <c r="C43">
        <v>-9</v>
      </c>
    </row>
    <row r="44" spans="1:3" x14ac:dyDescent="0.25">
      <c r="A44" t="s">
        <v>674</v>
      </c>
      <c r="B44" s="44">
        <v>2379.1800000000003</v>
      </c>
      <c r="C44">
        <v>-10</v>
      </c>
    </row>
    <row r="45" spans="1:3" x14ac:dyDescent="0.25">
      <c r="A45" t="s">
        <v>675</v>
      </c>
      <c r="B45" s="44">
        <v>2281.0909999999999</v>
      </c>
      <c r="C45">
        <v>-9</v>
      </c>
    </row>
    <row r="46" spans="1:3" x14ac:dyDescent="0.25">
      <c r="A46" t="s">
        <v>676</v>
      </c>
      <c r="B46" s="44">
        <v>2087</v>
      </c>
      <c r="C46">
        <v>-8</v>
      </c>
    </row>
    <row r="47" spans="1:3" x14ac:dyDescent="0.25">
      <c r="A47" t="s">
        <v>677</v>
      </c>
      <c r="B47" s="44">
        <v>2087</v>
      </c>
      <c r="C47">
        <v>-8</v>
      </c>
    </row>
    <row r="48" spans="1:3" x14ac:dyDescent="0.25">
      <c r="A48" t="s">
        <v>678</v>
      </c>
      <c r="B48" s="44">
        <v>2281.0909999999999</v>
      </c>
      <c r="C48">
        <v>-10</v>
      </c>
    </row>
    <row r="49" spans="1:3" x14ac:dyDescent="0.25">
      <c r="A49" t="s">
        <v>679</v>
      </c>
      <c r="B49" s="44">
        <v>2790.319</v>
      </c>
      <c r="C49">
        <v>-11</v>
      </c>
    </row>
    <row r="50" spans="1:3" x14ac:dyDescent="0.25">
      <c r="A50" t="s">
        <v>680</v>
      </c>
      <c r="B50" s="44">
        <v>2790.319</v>
      </c>
      <c r="C50">
        <v>-11</v>
      </c>
    </row>
    <row r="51" spans="1:3" x14ac:dyDescent="0.25">
      <c r="A51" t="s">
        <v>681</v>
      </c>
      <c r="B51" s="44">
        <v>2281.0909999999999</v>
      </c>
      <c r="C51">
        <v>-10</v>
      </c>
    </row>
    <row r="52" spans="1:3" x14ac:dyDescent="0.25">
      <c r="A52" t="s">
        <v>682</v>
      </c>
      <c r="B52" s="44">
        <v>2185.0889999999999</v>
      </c>
      <c r="C52">
        <v>-9</v>
      </c>
    </row>
    <row r="53" spans="1:3" x14ac:dyDescent="0.25">
      <c r="A53" t="s">
        <v>683</v>
      </c>
      <c r="B53" s="44">
        <v>2281.0909999999999</v>
      </c>
      <c r="C53">
        <v>-10</v>
      </c>
    </row>
    <row r="54" spans="1:3" x14ac:dyDescent="0.25">
      <c r="A54" t="s">
        <v>684</v>
      </c>
      <c r="B54" s="44">
        <v>2087</v>
      </c>
      <c r="C54">
        <v>-8</v>
      </c>
    </row>
    <row r="55" spans="1:3" x14ac:dyDescent="0.25">
      <c r="A55" t="s">
        <v>685</v>
      </c>
      <c r="B55" s="44">
        <v>2281.0909999999999</v>
      </c>
      <c r="C55">
        <v>-10</v>
      </c>
    </row>
    <row r="56" spans="1:3" x14ac:dyDescent="0.25">
      <c r="A56" t="s">
        <v>686</v>
      </c>
      <c r="B56" s="44">
        <v>2185.0889999999999</v>
      </c>
      <c r="C56">
        <v>-9</v>
      </c>
    </row>
    <row r="57" spans="1:3" x14ac:dyDescent="0.25">
      <c r="A57" t="s">
        <v>687</v>
      </c>
      <c r="B57" s="44">
        <v>2281.0909999999999</v>
      </c>
      <c r="C57">
        <v>-9</v>
      </c>
    </row>
    <row r="58" spans="1:3" x14ac:dyDescent="0.25">
      <c r="A58" t="s">
        <v>688</v>
      </c>
      <c r="B58" s="44">
        <v>2087</v>
      </c>
      <c r="C58">
        <v>-8</v>
      </c>
    </row>
    <row r="59" spans="1:3" x14ac:dyDescent="0.25">
      <c r="A59" t="s">
        <v>689</v>
      </c>
      <c r="B59" s="44">
        <v>1988.9109999999998</v>
      </c>
      <c r="C59">
        <v>-8</v>
      </c>
    </row>
    <row r="60" spans="1:3" x14ac:dyDescent="0.25">
      <c r="A60" t="s">
        <v>690</v>
      </c>
      <c r="B60" s="44">
        <v>2087</v>
      </c>
      <c r="C60">
        <v>-8</v>
      </c>
    </row>
    <row r="61" spans="1:3" x14ac:dyDescent="0.25">
      <c r="A61" t="s">
        <v>691</v>
      </c>
      <c r="B61" s="44">
        <v>1988.9109999999998</v>
      </c>
      <c r="C61">
        <v>-8</v>
      </c>
    </row>
    <row r="62" spans="1:3" x14ac:dyDescent="0.25">
      <c r="A62" t="s">
        <v>692</v>
      </c>
      <c r="B62" s="44">
        <v>1988.9109999999998</v>
      </c>
      <c r="C62">
        <v>-8</v>
      </c>
    </row>
    <row r="63" spans="1:3" x14ac:dyDescent="0.25">
      <c r="A63" t="s">
        <v>693</v>
      </c>
      <c r="B63" s="44">
        <v>2087</v>
      </c>
      <c r="C63">
        <v>-8</v>
      </c>
    </row>
    <row r="64" spans="1:3" x14ac:dyDescent="0.25">
      <c r="A64" t="s">
        <v>694</v>
      </c>
      <c r="B64" s="44">
        <v>2087</v>
      </c>
      <c r="C64">
        <v>-8</v>
      </c>
    </row>
    <row r="65" spans="1:3" x14ac:dyDescent="0.25">
      <c r="A65" t="s">
        <v>694</v>
      </c>
      <c r="B65" s="44">
        <v>2281.0909999999999</v>
      </c>
      <c r="C65">
        <v>-9</v>
      </c>
    </row>
    <row r="66" spans="1:3" x14ac:dyDescent="0.25">
      <c r="A66" t="s">
        <v>695</v>
      </c>
      <c r="B66" s="44">
        <v>2548.2270000000003</v>
      </c>
      <c r="C66">
        <v>-11</v>
      </c>
    </row>
    <row r="67" spans="1:3" x14ac:dyDescent="0.25">
      <c r="A67" t="s">
        <v>696</v>
      </c>
      <c r="B67" s="44">
        <v>2087</v>
      </c>
      <c r="C67">
        <v>-8</v>
      </c>
    </row>
    <row r="68" spans="1:3" x14ac:dyDescent="0.25">
      <c r="A68" t="s">
        <v>697</v>
      </c>
      <c r="B68" s="44">
        <v>2087</v>
      </c>
      <c r="C68">
        <v>-8</v>
      </c>
    </row>
    <row r="69" spans="1:3" x14ac:dyDescent="0.25">
      <c r="A69" t="s">
        <v>698</v>
      </c>
      <c r="B69" s="44">
        <v>2087</v>
      </c>
      <c r="C69">
        <v>-8</v>
      </c>
    </row>
    <row r="70" spans="1:3" x14ac:dyDescent="0.25">
      <c r="A70" t="s">
        <v>699</v>
      </c>
      <c r="B70" s="44">
        <v>1988.9109999999998</v>
      </c>
      <c r="C70">
        <v>-8</v>
      </c>
    </row>
    <row r="71" spans="1:3" x14ac:dyDescent="0.25">
      <c r="A71" t="s">
        <v>700</v>
      </c>
      <c r="B71" s="44">
        <v>2185.0889999999999</v>
      </c>
      <c r="C71">
        <v>-9</v>
      </c>
    </row>
    <row r="72" spans="1:3" x14ac:dyDescent="0.25">
      <c r="A72" t="s">
        <v>701</v>
      </c>
      <c r="B72" s="44">
        <v>2281.0909999999999</v>
      </c>
      <c r="C72">
        <v>-9</v>
      </c>
    </row>
    <row r="73" spans="1:3" x14ac:dyDescent="0.25">
      <c r="A73" t="s">
        <v>702</v>
      </c>
      <c r="B73" s="44">
        <v>2548.2270000000003</v>
      </c>
      <c r="C73">
        <v>-11</v>
      </c>
    </row>
    <row r="74" spans="1:3" x14ac:dyDescent="0.25">
      <c r="A74" t="s">
        <v>703</v>
      </c>
      <c r="B74" s="44">
        <v>2087</v>
      </c>
      <c r="C74">
        <v>-9</v>
      </c>
    </row>
    <row r="75" spans="1:3" x14ac:dyDescent="0.25">
      <c r="A75" t="s">
        <v>704</v>
      </c>
      <c r="B75" s="44">
        <v>2185.0889999999999</v>
      </c>
      <c r="C75">
        <v>-9</v>
      </c>
    </row>
    <row r="76" spans="1:3" x14ac:dyDescent="0.25">
      <c r="A76" t="s">
        <v>705</v>
      </c>
      <c r="B76" s="44">
        <v>2548.2270000000003</v>
      </c>
      <c r="C76">
        <v>-10</v>
      </c>
    </row>
    <row r="77" spans="1:3" x14ac:dyDescent="0.25">
      <c r="A77" t="s">
        <v>706</v>
      </c>
      <c r="B77" s="44">
        <v>2087</v>
      </c>
      <c r="C77">
        <v>-9</v>
      </c>
    </row>
    <row r="78" spans="1:3" x14ac:dyDescent="0.25">
      <c r="A78" t="s">
        <v>707</v>
      </c>
      <c r="B78" s="44">
        <v>2087</v>
      </c>
      <c r="C78">
        <v>-8</v>
      </c>
    </row>
    <row r="79" spans="1:3" x14ac:dyDescent="0.25">
      <c r="A79" t="s">
        <v>708</v>
      </c>
      <c r="B79" s="44">
        <v>1988.9109999999998</v>
      </c>
      <c r="C79">
        <v>-8</v>
      </c>
    </row>
    <row r="80" spans="1:3" x14ac:dyDescent="0.25">
      <c r="A80" t="s">
        <v>709</v>
      </c>
      <c r="B80" s="44">
        <v>2185.0889999999999</v>
      </c>
      <c r="C80">
        <v>-8</v>
      </c>
    </row>
    <row r="81" spans="1:3" x14ac:dyDescent="0.25">
      <c r="A81" t="s">
        <v>710</v>
      </c>
      <c r="B81" s="44">
        <v>2087</v>
      </c>
      <c r="C81">
        <v>-8</v>
      </c>
    </row>
    <row r="82" spans="1:3" x14ac:dyDescent="0.25">
      <c r="A82" t="s">
        <v>711</v>
      </c>
      <c r="B82" s="44">
        <v>1988.9109999999998</v>
      </c>
      <c r="C82">
        <v>-8</v>
      </c>
    </row>
    <row r="83" spans="1:3" x14ac:dyDescent="0.25">
      <c r="A83" t="s">
        <v>712</v>
      </c>
      <c r="B83" s="44">
        <v>1988.9109999999998</v>
      </c>
      <c r="C83">
        <v>-8</v>
      </c>
    </row>
    <row r="84" spans="1:3" x14ac:dyDescent="0.25">
      <c r="A84" t="s">
        <v>713</v>
      </c>
      <c r="B84" s="44">
        <v>2790.319</v>
      </c>
      <c r="C84">
        <v>-11</v>
      </c>
    </row>
    <row r="85" spans="1:3" x14ac:dyDescent="0.25">
      <c r="A85" t="s">
        <v>714</v>
      </c>
      <c r="B85" s="44">
        <v>2087</v>
      </c>
      <c r="C85">
        <v>-9</v>
      </c>
    </row>
    <row r="86" spans="1:3" x14ac:dyDescent="0.25">
      <c r="A86" t="s">
        <v>715</v>
      </c>
      <c r="B86" s="44">
        <v>2281.0909999999999</v>
      </c>
      <c r="C86">
        <v>-10</v>
      </c>
    </row>
    <row r="87" spans="1:3" x14ac:dyDescent="0.25">
      <c r="A87" t="s">
        <v>716</v>
      </c>
      <c r="B87" s="44">
        <v>2087</v>
      </c>
      <c r="C87">
        <v>-8</v>
      </c>
    </row>
    <row r="88" spans="1:3" x14ac:dyDescent="0.25">
      <c r="A88" t="s">
        <v>717</v>
      </c>
      <c r="B88" s="44">
        <v>2087</v>
      </c>
      <c r="C88">
        <v>-8</v>
      </c>
    </row>
    <row r="89" spans="1:3" x14ac:dyDescent="0.25">
      <c r="A89" t="s">
        <v>718</v>
      </c>
      <c r="B89" s="44">
        <v>2185.0889999999999</v>
      </c>
      <c r="C89">
        <v>-8</v>
      </c>
    </row>
    <row r="90" spans="1:3" x14ac:dyDescent="0.25">
      <c r="A90" t="s">
        <v>719</v>
      </c>
      <c r="B90" s="44">
        <v>2379.1800000000003</v>
      </c>
      <c r="C90">
        <v>-10</v>
      </c>
    </row>
    <row r="91" spans="1:3" x14ac:dyDescent="0.25">
      <c r="A91" t="s">
        <v>720</v>
      </c>
      <c r="B91" s="44">
        <v>2087</v>
      </c>
      <c r="C91">
        <v>-8</v>
      </c>
    </row>
    <row r="92" spans="1:3" x14ac:dyDescent="0.25">
      <c r="A92" t="s">
        <v>721</v>
      </c>
      <c r="B92" s="44">
        <v>2087</v>
      </c>
      <c r="C92">
        <v>-8</v>
      </c>
    </row>
    <row r="93" spans="1:3" x14ac:dyDescent="0.25">
      <c r="A93" t="s">
        <v>722</v>
      </c>
      <c r="B93" s="44">
        <v>2548.2270000000003</v>
      </c>
      <c r="C93">
        <v>-11</v>
      </c>
    </row>
    <row r="94" spans="1:3" x14ac:dyDescent="0.25">
      <c r="A94" t="s">
        <v>723</v>
      </c>
      <c r="B94" s="44">
        <v>2087</v>
      </c>
      <c r="C94">
        <v>-8</v>
      </c>
    </row>
    <row r="95" spans="1:3" x14ac:dyDescent="0.25">
      <c r="A95" t="s">
        <v>724</v>
      </c>
      <c r="B95" s="44">
        <v>2379.1800000000003</v>
      </c>
      <c r="C95">
        <v>-10</v>
      </c>
    </row>
    <row r="96" spans="1:3" x14ac:dyDescent="0.25">
      <c r="A96" t="s">
        <v>725</v>
      </c>
      <c r="B96" s="44">
        <v>2087</v>
      </c>
      <c r="C96">
        <v>-8</v>
      </c>
    </row>
    <row r="97" spans="1:3" x14ac:dyDescent="0.25">
      <c r="A97" t="s">
        <v>726</v>
      </c>
      <c r="B97" s="44">
        <v>2281.0909999999999</v>
      </c>
      <c r="C97">
        <v>-10</v>
      </c>
    </row>
    <row r="98" spans="1:3" x14ac:dyDescent="0.25">
      <c r="A98" t="s">
        <v>727</v>
      </c>
      <c r="B98" s="44">
        <v>2379.1800000000003</v>
      </c>
      <c r="C98">
        <v>-10</v>
      </c>
    </row>
    <row r="99" spans="1:3" x14ac:dyDescent="0.25">
      <c r="A99" t="s">
        <v>728</v>
      </c>
      <c r="B99" s="44">
        <v>2790.319</v>
      </c>
      <c r="C99">
        <v>-11</v>
      </c>
    </row>
    <row r="100" spans="1:3" x14ac:dyDescent="0.25">
      <c r="A100" t="s">
        <v>729</v>
      </c>
      <c r="B100" s="44">
        <v>2087</v>
      </c>
      <c r="C100">
        <v>-8</v>
      </c>
    </row>
    <row r="101" spans="1:3" x14ac:dyDescent="0.25">
      <c r="A101" t="s">
        <v>730</v>
      </c>
      <c r="B101" s="44">
        <v>2087</v>
      </c>
      <c r="C101">
        <v>-8</v>
      </c>
    </row>
    <row r="102" spans="1:3" x14ac:dyDescent="0.25">
      <c r="A102" t="s">
        <v>731</v>
      </c>
      <c r="B102" s="44">
        <v>2185.0889999999999</v>
      </c>
      <c r="C102">
        <v>-9</v>
      </c>
    </row>
    <row r="103" spans="1:3" x14ac:dyDescent="0.25">
      <c r="A103" t="s">
        <v>732</v>
      </c>
      <c r="B103" s="44">
        <v>2548.2270000000003</v>
      </c>
      <c r="C103">
        <v>-11</v>
      </c>
    </row>
    <row r="104" spans="1:3" x14ac:dyDescent="0.25">
      <c r="A104" t="s">
        <v>733</v>
      </c>
      <c r="B104" s="44">
        <v>2087</v>
      </c>
      <c r="C104">
        <v>-8</v>
      </c>
    </row>
    <row r="105" spans="1:3" x14ac:dyDescent="0.25">
      <c r="A105" t="s">
        <v>734</v>
      </c>
      <c r="B105" s="44">
        <v>2185.0889999999999</v>
      </c>
      <c r="C105">
        <v>-8</v>
      </c>
    </row>
    <row r="106" spans="1:3" x14ac:dyDescent="0.25">
      <c r="A106" t="s">
        <v>735</v>
      </c>
      <c r="B106" s="44">
        <v>2185.0889999999999</v>
      </c>
      <c r="C106">
        <v>-9</v>
      </c>
    </row>
    <row r="107" spans="1:3" x14ac:dyDescent="0.25">
      <c r="A107" t="s">
        <v>736</v>
      </c>
      <c r="B107" s="44">
        <v>2548.2270000000003</v>
      </c>
      <c r="C107">
        <v>-10</v>
      </c>
    </row>
    <row r="108" spans="1:3" x14ac:dyDescent="0.25">
      <c r="A108" t="s">
        <v>737</v>
      </c>
      <c r="B108" s="44">
        <v>1892.9090000000001</v>
      </c>
      <c r="C108">
        <v>-7</v>
      </c>
    </row>
    <row r="109" spans="1:3" x14ac:dyDescent="0.25">
      <c r="A109" t="s">
        <v>738</v>
      </c>
      <c r="B109" s="44">
        <v>2087</v>
      </c>
      <c r="C109">
        <v>-8</v>
      </c>
    </row>
    <row r="110" spans="1:3" x14ac:dyDescent="0.25">
      <c r="A110" t="s">
        <v>739</v>
      </c>
      <c r="B110" s="44">
        <v>2185.0889999999999</v>
      </c>
      <c r="C110">
        <v>-9</v>
      </c>
    </row>
    <row r="111" spans="1:3" x14ac:dyDescent="0.25">
      <c r="A111" t="s">
        <v>740</v>
      </c>
      <c r="B111" s="44">
        <v>2087</v>
      </c>
      <c r="C111">
        <v>-9</v>
      </c>
    </row>
    <row r="112" spans="1:3" x14ac:dyDescent="0.25">
      <c r="A112" t="s">
        <v>741</v>
      </c>
      <c r="B112" s="44">
        <v>2087</v>
      </c>
      <c r="C112">
        <v>-9</v>
      </c>
    </row>
    <row r="113" spans="1:3" x14ac:dyDescent="0.25">
      <c r="A113" t="s">
        <v>742</v>
      </c>
      <c r="B113" s="44">
        <v>2185.0889999999999</v>
      </c>
      <c r="C113">
        <v>-9</v>
      </c>
    </row>
    <row r="114" spans="1:3" x14ac:dyDescent="0.25">
      <c r="A114" t="s">
        <v>743</v>
      </c>
      <c r="B114" s="44">
        <v>2185.0889999999999</v>
      </c>
      <c r="C114">
        <v>-9</v>
      </c>
    </row>
    <row r="115" spans="1:3" x14ac:dyDescent="0.25">
      <c r="A115" t="s">
        <v>744</v>
      </c>
      <c r="B115" s="44">
        <v>2548.2270000000003</v>
      </c>
      <c r="C115">
        <v>-10</v>
      </c>
    </row>
    <row r="116" spans="1:3" x14ac:dyDescent="0.25">
      <c r="A116" t="s">
        <v>745</v>
      </c>
      <c r="B116" s="44">
        <v>2281.0909999999999</v>
      </c>
      <c r="C116">
        <v>-9</v>
      </c>
    </row>
    <row r="117" spans="1:3" x14ac:dyDescent="0.25">
      <c r="A117" t="s">
        <v>746</v>
      </c>
      <c r="B117" s="44">
        <v>2379.1800000000003</v>
      </c>
      <c r="C117">
        <v>-10</v>
      </c>
    </row>
    <row r="118" spans="1:3" x14ac:dyDescent="0.25">
      <c r="A118" t="s">
        <v>747</v>
      </c>
      <c r="B118" s="44">
        <v>2281.0909999999999</v>
      </c>
      <c r="C118">
        <v>-10</v>
      </c>
    </row>
    <row r="119" spans="1:3" x14ac:dyDescent="0.25">
      <c r="A119" t="s">
        <v>748</v>
      </c>
      <c r="B119" s="44">
        <v>2379.1800000000003</v>
      </c>
      <c r="C119">
        <v>-10</v>
      </c>
    </row>
    <row r="120" spans="1:3" x14ac:dyDescent="0.25">
      <c r="A120" t="s">
        <v>749</v>
      </c>
      <c r="B120" s="44">
        <v>1988.9109999999998</v>
      </c>
      <c r="C120">
        <v>-8</v>
      </c>
    </row>
    <row r="121" spans="1:3" x14ac:dyDescent="0.25">
      <c r="A121" t="s">
        <v>750</v>
      </c>
      <c r="B121" s="44">
        <v>2087</v>
      </c>
      <c r="C121">
        <v>-8</v>
      </c>
    </row>
    <row r="122" spans="1:3" x14ac:dyDescent="0.25">
      <c r="A122" t="s">
        <v>751</v>
      </c>
      <c r="B122" s="44">
        <v>2087</v>
      </c>
      <c r="C122">
        <v>-8</v>
      </c>
    </row>
    <row r="123" spans="1:3" x14ac:dyDescent="0.25">
      <c r="A123" t="s">
        <v>752</v>
      </c>
      <c r="B123" s="44">
        <v>2185.0889999999999</v>
      </c>
      <c r="C123">
        <v>-9</v>
      </c>
    </row>
    <row r="124" spans="1:3" x14ac:dyDescent="0.25">
      <c r="A124" t="s">
        <v>753</v>
      </c>
      <c r="B124" s="44">
        <v>1988.9109999999998</v>
      </c>
      <c r="C124">
        <v>-8</v>
      </c>
    </row>
    <row r="125" spans="1:3" x14ac:dyDescent="0.25">
      <c r="A125" t="s">
        <v>754</v>
      </c>
      <c r="B125" s="44">
        <v>1988.9109999999998</v>
      </c>
      <c r="C125">
        <v>-8</v>
      </c>
    </row>
    <row r="126" spans="1:3" x14ac:dyDescent="0.25">
      <c r="A126" t="s">
        <v>755</v>
      </c>
      <c r="B126" s="44">
        <v>2379.1800000000003</v>
      </c>
      <c r="C126">
        <v>-10</v>
      </c>
    </row>
    <row r="127" spans="1:3" x14ac:dyDescent="0.25">
      <c r="A127" t="s">
        <v>756</v>
      </c>
      <c r="B127" s="44">
        <v>2548.2270000000003</v>
      </c>
      <c r="C127">
        <v>-11</v>
      </c>
    </row>
    <row r="128" spans="1:3" x14ac:dyDescent="0.25">
      <c r="A128" t="s">
        <v>757</v>
      </c>
      <c r="B128" s="44">
        <v>2379.1800000000003</v>
      </c>
      <c r="C128">
        <v>-10</v>
      </c>
    </row>
    <row r="129" spans="1:3" x14ac:dyDescent="0.25">
      <c r="A129" t="s">
        <v>758</v>
      </c>
      <c r="B129" s="44">
        <v>2281.0909999999999</v>
      </c>
      <c r="C129">
        <v>-10</v>
      </c>
    </row>
    <row r="130" spans="1:3" x14ac:dyDescent="0.25">
      <c r="A130" t="s">
        <v>759</v>
      </c>
      <c r="B130" s="44">
        <v>2790.319</v>
      </c>
      <c r="C130">
        <v>-11</v>
      </c>
    </row>
    <row r="131" spans="1:3" x14ac:dyDescent="0.25">
      <c r="A131" t="s">
        <v>760</v>
      </c>
      <c r="B131" s="44">
        <v>2087</v>
      </c>
      <c r="C131">
        <v>-8</v>
      </c>
    </row>
    <row r="132" spans="1:3" x14ac:dyDescent="0.25">
      <c r="A132" t="s">
        <v>761</v>
      </c>
      <c r="B132" s="44">
        <v>2379.1800000000003</v>
      </c>
      <c r="C132">
        <v>-10</v>
      </c>
    </row>
    <row r="133" spans="1:3" x14ac:dyDescent="0.25">
      <c r="A133" t="s">
        <v>762</v>
      </c>
      <c r="B133" s="44">
        <v>2087</v>
      </c>
      <c r="C133">
        <v>-8</v>
      </c>
    </row>
    <row r="134" spans="1:3" x14ac:dyDescent="0.25">
      <c r="A134" t="s">
        <v>763</v>
      </c>
      <c r="B134" s="44">
        <v>2185.0889999999999</v>
      </c>
      <c r="C134">
        <v>-9</v>
      </c>
    </row>
    <row r="135" spans="1:3" x14ac:dyDescent="0.25">
      <c r="A135" t="s">
        <v>764</v>
      </c>
      <c r="B135" s="44">
        <v>2185.0889999999999</v>
      </c>
      <c r="C135">
        <v>-9</v>
      </c>
    </row>
    <row r="136" spans="1:3" x14ac:dyDescent="0.25">
      <c r="A136" t="s">
        <v>765</v>
      </c>
      <c r="B136" s="44">
        <v>1988.9109999999998</v>
      </c>
      <c r="C136">
        <v>-8</v>
      </c>
    </row>
    <row r="137" spans="1:3" x14ac:dyDescent="0.25">
      <c r="A137" t="s">
        <v>766</v>
      </c>
      <c r="B137" s="44">
        <v>2185.0889999999999</v>
      </c>
      <c r="C137">
        <v>-9</v>
      </c>
    </row>
    <row r="138" spans="1:3" x14ac:dyDescent="0.25">
      <c r="A138" t="s">
        <v>767</v>
      </c>
      <c r="B138" s="44">
        <v>2087</v>
      </c>
      <c r="C138">
        <v>-8</v>
      </c>
    </row>
    <row r="139" spans="1:3" x14ac:dyDescent="0.25">
      <c r="A139" t="s">
        <v>768</v>
      </c>
      <c r="B139" s="44">
        <v>2379.1800000000003</v>
      </c>
      <c r="C139">
        <v>-10</v>
      </c>
    </row>
    <row r="140" spans="1:3" x14ac:dyDescent="0.25">
      <c r="A140" t="s">
        <v>769</v>
      </c>
      <c r="B140" s="44">
        <v>2281.0909999999999</v>
      </c>
      <c r="C140">
        <v>-9</v>
      </c>
    </row>
    <row r="141" spans="1:3" x14ac:dyDescent="0.25">
      <c r="A141" t="s">
        <v>770</v>
      </c>
      <c r="B141" s="44">
        <v>2281.0909999999999</v>
      </c>
      <c r="C141">
        <v>-9</v>
      </c>
    </row>
    <row r="142" spans="1:3" x14ac:dyDescent="0.25">
      <c r="A142" t="s">
        <v>771</v>
      </c>
      <c r="B142" s="44">
        <v>2379.1800000000003</v>
      </c>
      <c r="C142">
        <v>-10</v>
      </c>
    </row>
    <row r="143" spans="1:3" x14ac:dyDescent="0.25">
      <c r="A143" t="s">
        <v>772</v>
      </c>
      <c r="B143" s="44">
        <v>2087</v>
      </c>
      <c r="C143">
        <v>-8</v>
      </c>
    </row>
    <row r="144" spans="1:3" x14ac:dyDescent="0.25">
      <c r="A144" t="s">
        <v>773</v>
      </c>
      <c r="B144" s="44">
        <v>2379.1800000000003</v>
      </c>
      <c r="C144">
        <v>-10</v>
      </c>
    </row>
    <row r="145" spans="1:3" x14ac:dyDescent="0.25">
      <c r="A145" t="s">
        <v>774</v>
      </c>
      <c r="B145" s="44">
        <v>2379.1800000000003</v>
      </c>
      <c r="C145">
        <v>-10</v>
      </c>
    </row>
    <row r="146" spans="1:3" x14ac:dyDescent="0.25">
      <c r="A146" t="s">
        <v>775</v>
      </c>
      <c r="B146" s="44">
        <v>1988.9109999999998</v>
      </c>
      <c r="C146">
        <v>-8</v>
      </c>
    </row>
    <row r="147" spans="1:3" x14ac:dyDescent="0.25">
      <c r="A147" t="s">
        <v>776</v>
      </c>
      <c r="B147" s="44">
        <v>2281.0909999999999</v>
      </c>
      <c r="C147">
        <v>-9</v>
      </c>
    </row>
    <row r="148" spans="1:3" x14ac:dyDescent="0.25">
      <c r="A148" t="s">
        <v>777</v>
      </c>
      <c r="B148" s="44">
        <v>2087</v>
      </c>
      <c r="C148">
        <v>-8</v>
      </c>
    </row>
    <row r="149" spans="1:3" x14ac:dyDescent="0.25">
      <c r="A149" t="s">
        <v>778</v>
      </c>
      <c r="B149" s="44">
        <v>2379.1800000000003</v>
      </c>
      <c r="C149">
        <v>-10</v>
      </c>
    </row>
    <row r="150" spans="1:3" x14ac:dyDescent="0.25">
      <c r="A150" t="s">
        <v>779</v>
      </c>
      <c r="B150" s="44">
        <v>2185.0889999999999</v>
      </c>
      <c r="C150">
        <v>-8</v>
      </c>
    </row>
    <row r="151" spans="1:3" x14ac:dyDescent="0.25">
      <c r="A151" t="s">
        <v>780</v>
      </c>
      <c r="B151" s="44">
        <v>1988.9109999999998</v>
      </c>
      <c r="C151">
        <v>-8</v>
      </c>
    </row>
    <row r="152" spans="1:3" x14ac:dyDescent="0.25">
      <c r="A152" t="s">
        <v>781</v>
      </c>
      <c r="B152" s="44">
        <v>2087</v>
      </c>
      <c r="C152">
        <v>-8</v>
      </c>
    </row>
    <row r="153" spans="1:3" x14ac:dyDescent="0.25">
      <c r="A153" t="s">
        <v>782</v>
      </c>
      <c r="B153" s="44">
        <v>2790.319</v>
      </c>
      <c r="C153">
        <v>-11</v>
      </c>
    </row>
    <row r="154" spans="1:3" x14ac:dyDescent="0.25">
      <c r="A154" t="s">
        <v>783</v>
      </c>
      <c r="B154" s="44">
        <v>2087</v>
      </c>
      <c r="C154">
        <v>-8</v>
      </c>
    </row>
    <row r="155" spans="1:3" x14ac:dyDescent="0.25">
      <c r="A155" t="s">
        <v>784</v>
      </c>
      <c r="B155" s="44">
        <v>2281.0909999999999</v>
      </c>
      <c r="C155">
        <v>-10</v>
      </c>
    </row>
    <row r="156" spans="1:3" x14ac:dyDescent="0.25">
      <c r="A156" t="s">
        <v>785</v>
      </c>
      <c r="B156" s="44">
        <v>2185.0889999999999</v>
      </c>
      <c r="C156">
        <v>-8</v>
      </c>
    </row>
    <row r="157" spans="1:3" x14ac:dyDescent="0.25">
      <c r="A157" t="s">
        <v>786</v>
      </c>
      <c r="B157" s="44">
        <v>2087</v>
      </c>
      <c r="C157">
        <v>-8</v>
      </c>
    </row>
    <row r="158" spans="1:3" x14ac:dyDescent="0.25">
      <c r="A158" t="s">
        <v>787</v>
      </c>
      <c r="B158" s="44">
        <v>2087</v>
      </c>
      <c r="C158">
        <v>-8</v>
      </c>
    </row>
    <row r="159" spans="1:3" x14ac:dyDescent="0.25">
      <c r="A159" t="s">
        <v>788</v>
      </c>
      <c r="B159" s="44">
        <v>2087</v>
      </c>
      <c r="C159">
        <v>-8</v>
      </c>
    </row>
    <row r="160" spans="1:3" x14ac:dyDescent="0.25">
      <c r="A160" t="s">
        <v>789</v>
      </c>
      <c r="B160" s="44">
        <v>2087</v>
      </c>
      <c r="C160">
        <v>-9</v>
      </c>
    </row>
    <row r="161" spans="1:3" x14ac:dyDescent="0.25">
      <c r="A161" t="s">
        <v>790</v>
      </c>
      <c r="B161" s="44">
        <v>2087</v>
      </c>
      <c r="C161">
        <v>-8</v>
      </c>
    </row>
    <row r="162" spans="1:3" x14ac:dyDescent="0.25">
      <c r="A162" t="s">
        <v>791</v>
      </c>
      <c r="B162" s="44">
        <v>1988.9109999999998</v>
      </c>
      <c r="C162">
        <v>-8</v>
      </c>
    </row>
    <row r="163" spans="1:3" x14ac:dyDescent="0.25">
      <c r="A163" t="s">
        <v>792</v>
      </c>
      <c r="B163" s="44">
        <v>1988.9109999999998</v>
      </c>
      <c r="C163">
        <v>-8</v>
      </c>
    </row>
    <row r="164" spans="1:3" x14ac:dyDescent="0.25">
      <c r="A164" t="s">
        <v>793</v>
      </c>
      <c r="B164" s="44">
        <v>2281.0909999999999</v>
      </c>
      <c r="C164">
        <v>-9</v>
      </c>
    </row>
    <row r="165" spans="1:3" x14ac:dyDescent="0.25">
      <c r="A165" t="s">
        <v>794</v>
      </c>
      <c r="B165" s="44">
        <v>2281.0909999999999</v>
      </c>
      <c r="C165">
        <v>-9</v>
      </c>
    </row>
    <row r="166" spans="1:3" x14ac:dyDescent="0.25">
      <c r="A166" t="s">
        <v>795</v>
      </c>
      <c r="B166" s="44">
        <v>2379.1800000000003</v>
      </c>
      <c r="C166">
        <v>-10</v>
      </c>
    </row>
    <row r="167" spans="1:3" x14ac:dyDescent="0.25">
      <c r="A167" t="s">
        <v>796</v>
      </c>
      <c r="B167" s="44">
        <v>2548.2270000000003</v>
      </c>
      <c r="C167">
        <v>-10</v>
      </c>
    </row>
    <row r="168" spans="1:3" x14ac:dyDescent="0.25">
      <c r="A168" t="s">
        <v>797</v>
      </c>
      <c r="B168" s="44">
        <v>2087</v>
      </c>
      <c r="C168">
        <v>-8</v>
      </c>
    </row>
    <row r="169" spans="1:3" x14ac:dyDescent="0.25">
      <c r="A169" t="s">
        <v>798</v>
      </c>
      <c r="B169" s="44">
        <v>1892.9090000000001</v>
      </c>
      <c r="C169">
        <v>-8</v>
      </c>
    </row>
    <row r="170" spans="1:3" x14ac:dyDescent="0.25">
      <c r="A170" t="s">
        <v>799</v>
      </c>
      <c r="B170" s="44">
        <v>2379.1800000000003</v>
      </c>
      <c r="C170">
        <v>-11</v>
      </c>
    </row>
    <row r="171" spans="1:3" x14ac:dyDescent="0.25">
      <c r="A171" t="s">
        <v>800</v>
      </c>
      <c r="B171" s="44">
        <v>2087</v>
      </c>
      <c r="C171">
        <v>-8</v>
      </c>
    </row>
    <row r="172" spans="1:3" x14ac:dyDescent="0.25">
      <c r="A172" t="s">
        <v>801</v>
      </c>
      <c r="B172" s="44">
        <v>2185.0889999999999</v>
      </c>
      <c r="C172">
        <v>-9</v>
      </c>
    </row>
    <row r="173" spans="1:3" x14ac:dyDescent="0.25">
      <c r="A173" t="s">
        <v>802</v>
      </c>
      <c r="B173" s="44">
        <v>2087</v>
      </c>
      <c r="C173">
        <v>-8</v>
      </c>
    </row>
    <row r="174" spans="1:3" x14ac:dyDescent="0.25">
      <c r="A174" t="s">
        <v>803</v>
      </c>
      <c r="B174" s="44">
        <v>1988.9109999999998</v>
      </c>
      <c r="C174">
        <v>-8</v>
      </c>
    </row>
    <row r="175" spans="1:3" x14ac:dyDescent="0.25">
      <c r="A175" t="s">
        <v>804</v>
      </c>
      <c r="B175" s="44">
        <v>2087</v>
      </c>
      <c r="C175">
        <v>-9</v>
      </c>
    </row>
    <row r="176" spans="1:3" x14ac:dyDescent="0.25">
      <c r="A176" t="s">
        <v>805</v>
      </c>
      <c r="B176" s="44">
        <v>2087</v>
      </c>
      <c r="C176">
        <v>-8</v>
      </c>
    </row>
    <row r="177" spans="1:3" x14ac:dyDescent="0.25">
      <c r="A177" t="s">
        <v>806</v>
      </c>
      <c r="B177" s="44">
        <v>1988.9109999999998</v>
      </c>
      <c r="C177">
        <v>-8</v>
      </c>
    </row>
    <row r="178" spans="1:3" x14ac:dyDescent="0.25">
      <c r="A178" t="s">
        <v>807</v>
      </c>
      <c r="B178" s="44">
        <v>2087</v>
      </c>
      <c r="C178">
        <v>-8</v>
      </c>
    </row>
    <row r="179" spans="1:3" x14ac:dyDescent="0.25">
      <c r="A179" t="s">
        <v>808</v>
      </c>
      <c r="B179" s="44">
        <v>1988.9109999999998</v>
      </c>
      <c r="C179">
        <v>-8</v>
      </c>
    </row>
    <row r="180" spans="1:3" x14ac:dyDescent="0.25">
      <c r="A180" t="s">
        <v>809</v>
      </c>
      <c r="B180" s="44">
        <v>2087</v>
      </c>
      <c r="C180">
        <v>-8</v>
      </c>
    </row>
    <row r="181" spans="1:3" x14ac:dyDescent="0.25">
      <c r="A181" t="s">
        <v>810</v>
      </c>
      <c r="B181" s="44">
        <v>2281.0909999999999</v>
      </c>
      <c r="C181">
        <v>-9</v>
      </c>
    </row>
    <row r="182" spans="1:3" x14ac:dyDescent="0.25">
      <c r="A182" t="s">
        <v>811</v>
      </c>
      <c r="B182" s="44">
        <v>2379.1800000000003</v>
      </c>
      <c r="C182">
        <v>-10</v>
      </c>
    </row>
    <row r="183" spans="1:3" x14ac:dyDescent="0.25">
      <c r="A183" t="s">
        <v>812</v>
      </c>
      <c r="B183" s="44">
        <v>2087</v>
      </c>
      <c r="C183">
        <v>-9</v>
      </c>
    </row>
    <row r="184" spans="1:3" x14ac:dyDescent="0.25">
      <c r="A184" t="s">
        <v>813</v>
      </c>
      <c r="B184" s="44">
        <v>2548.2270000000003</v>
      </c>
      <c r="C184">
        <v>-11</v>
      </c>
    </row>
    <row r="185" spans="1:3" x14ac:dyDescent="0.25">
      <c r="A185" t="s">
        <v>814</v>
      </c>
      <c r="B185" s="44">
        <v>2087</v>
      </c>
      <c r="C185">
        <v>-8</v>
      </c>
    </row>
    <row r="186" spans="1:3" x14ac:dyDescent="0.25">
      <c r="A186" t="s">
        <v>815</v>
      </c>
      <c r="B186" s="44">
        <v>1988.9109999999998</v>
      </c>
      <c r="C186">
        <v>-8</v>
      </c>
    </row>
    <row r="187" spans="1:3" x14ac:dyDescent="0.25">
      <c r="A187" t="s">
        <v>816</v>
      </c>
      <c r="B187" s="44">
        <v>2087</v>
      </c>
      <c r="C187">
        <v>-8</v>
      </c>
    </row>
    <row r="188" spans="1:3" x14ac:dyDescent="0.25">
      <c r="A188" t="s">
        <v>817</v>
      </c>
      <c r="B188" s="44">
        <v>2087</v>
      </c>
      <c r="C188">
        <v>-9</v>
      </c>
    </row>
    <row r="189" spans="1:3" x14ac:dyDescent="0.25">
      <c r="A189" t="s">
        <v>818</v>
      </c>
      <c r="B189" s="44">
        <v>2185.0889999999999</v>
      </c>
      <c r="C189">
        <v>-9</v>
      </c>
    </row>
    <row r="190" spans="1:3" x14ac:dyDescent="0.25">
      <c r="A190" t="s">
        <v>819</v>
      </c>
      <c r="B190" s="44">
        <v>2281.0909999999999</v>
      </c>
      <c r="C190">
        <v>-9</v>
      </c>
    </row>
    <row r="191" spans="1:3" x14ac:dyDescent="0.25">
      <c r="A191" t="s">
        <v>820</v>
      </c>
      <c r="B191" s="44">
        <v>2185.0889999999999</v>
      </c>
      <c r="C191">
        <v>-9</v>
      </c>
    </row>
    <row r="192" spans="1:3" x14ac:dyDescent="0.25">
      <c r="A192" t="s">
        <v>821</v>
      </c>
      <c r="B192" s="44">
        <v>2548.2270000000003</v>
      </c>
      <c r="C192">
        <v>-11</v>
      </c>
    </row>
    <row r="193" spans="1:3" x14ac:dyDescent="0.25">
      <c r="A193" t="s">
        <v>821</v>
      </c>
      <c r="B193" s="44">
        <v>2548.2270000000003</v>
      </c>
      <c r="C193">
        <v>-10</v>
      </c>
    </row>
    <row r="194" spans="1:3" x14ac:dyDescent="0.25">
      <c r="A194" t="s">
        <v>822</v>
      </c>
      <c r="B194" s="44">
        <v>1988.9109999999998</v>
      </c>
      <c r="C194">
        <v>-8</v>
      </c>
    </row>
    <row r="195" spans="1:3" x14ac:dyDescent="0.25">
      <c r="A195" t="s">
        <v>823</v>
      </c>
      <c r="B195" s="44">
        <v>1988.9109999999998</v>
      </c>
      <c r="C195">
        <v>-8</v>
      </c>
    </row>
    <row r="196" spans="1:3" x14ac:dyDescent="0.25">
      <c r="A196" t="s">
        <v>824</v>
      </c>
      <c r="B196" s="44">
        <v>2790.319</v>
      </c>
      <c r="C196">
        <v>-10</v>
      </c>
    </row>
    <row r="197" spans="1:3" x14ac:dyDescent="0.25">
      <c r="A197" t="s">
        <v>825</v>
      </c>
      <c r="B197" s="44">
        <v>2790.319</v>
      </c>
      <c r="C197">
        <v>-11</v>
      </c>
    </row>
    <row r="198" spans="1:3" x14ac:dyDescent="0.25">
      <c r="A198" t="s">
        <v>826</v>
      </c>
      <c r="B198" s="44">
        <v>2087</v>
      </c>
      <c r="C198">
        <v>-8</v>
      </c>
    </row>
    <row r="199" spans="1:3" x14ac:dyDescent="0.25">
      <c r="A199" t="s">
        <v>827</v>
      </c>
      <c r="B199" s="44">
        <v>2087</v>
      </c>
      <c r="C199">
        <v>-8</v>
      </c>
    </row>
    <row r="200" spans="1:3" x14ac:dyDescent="0.25">
      <c r="A200" t="s">
        <v>828</v>
      </c>
      <c r="B200" s="44">
        <v>1988.9109999999998</v>
      </c>
      <c r="C200">
        <v>-8</v>
      </c>
    </row>
    <row r="201" spans="1:3" x14ac:dyDescent="0.25">
      <c r="A201" t="s">
        <v>829</v>
      </c>
      <c r="B201" s="44">
        <v>2281.0909999999999</v>
      </c>
      <c r="C201">
        <v>-9</v>
      </c>
    </row>
    <row r="202" spans="1:3" x14ac:dyDescent="0.25">
      <c r="A202" t="s">
        <v>830</v>
      </c>
      <c r="B202" s="44">
        <v>2281.0909999999999</v>
      </c>
      <c r="C202">
        <v>-10</v>
      </c>
    </row>
    <row r="203" spans="1:3" x14ac:dyDescent="0.25">
      <c r="A203" t="s">
        <v>831</v>
      </c>
      <c r="B203" s="44">
        <v>2087</v>
      </c>
      <c r="C203">
        <v>-9</v>
      </c>
    </row>
    <row r="204" spans="1:3" x14ac:dyDescent="0.25">
      <c r="A204" t="s">
        <v>832</v>
      </c>
      <c r="B204" s="44">
        <v>2087</v>
      </c>
      <c r="C204">
        <v>-8</v>
      </c>
    </row>
    <row r="205" spans="1:3" x14ac:dyDescent="0.25">
      <c r="A205" t="s">
        <v>833</v>
      </c>
      <c r="B205" s="44">
        <v>1988.9109999999998</v>
      </c>
      <c r="C205">
        <v>-8</v>
      </c>
    </row>
    <row r="206" spans="1:3" x14ac:dyDescent="0.25">
      <c r="A206" t="s">
        <v>833</v>
      </c>
      <c r="B206" s="44">
        <v>2087</v>
      </c>
      <c r="C206">
        <v>-8</v>
      </c>
    </row>
    <row r="207" spans="1:3" x14ac:dyDescent="0.25">
      <c r="A207" t="s">
        <v>834</v>
      </c>
      <c r="B207" s="44">
        <v>1988.9109999999998</v>
      </c>
      <c r="C207">
        <v>-8</v>
      </c>
    </row>
    <row r="208" spans="1:3" x14ac:dyDescent="0.25">
      <c r="A208" t="s">
        <v>835</v>
      </c>
      <c r="B208" s="44">
        <v>2087</v>
      </c>
      <c r="C208">
        <v>-8</v>
      </c>
    </row>
    <row r="209" spans="1:3" x14ac:dyDescent="0.25">
      <c r="A209" t="s">
        <v>835</v>
      </c>
      <c r="B209" s="44">
        <v>2087</v>
      </c>
      <c r="C209">
        <v>-8</v>
      </c>
    </row>
    <row r="210" spans="1:3" x14ac:dyDescent="0.25">
      <c r="A210" t="s">
        <v>836</v>
      </c>
      <c r="B210" s="44">
        <v>2087</v>
      </c>
      <c r="C210">
        <v>-8</v>
      </c>
    </row>
    <row r="211" spans="1:3" x14ac:dyDescent="0.25">
      <c r="A211" t="s">
        <v>837</v>
      </c>
      <c r="B211" s="44">
        <v>2087</v>
      </c>
      <c r="C211">
        <v>-9</v>
      </c>
    </row>
    <row r="212" spans="1:3" x14ac:dyDescent="0.25">
      <c r="A212" t="s">
        <v>838</v>
      </c>
      <c r="B212" s="44">
        <v>1988.9109999999998</v>
      </c>
      <c r="C212">
        <v>-8</v>
      </c>
    </row>
    <row r="213" spans="1:3" x14ac:dyDescent="0.25">
      <c r="A213" t="s">
        <v>839</v>
      </c>
      <c r="B213" s="44">
        <v>1988.9109999999998</v>
      </c>
      <c r="C213">
        <v>-8</v>
      </c>
    </row>
    <row r="214" spans="1:3" x14ac:dyDescent="0.25">
      <c r="A214" t="s">
        <v>840</v>
      </c>
      <c r="B214" s="44">
        <v>2087</v>
      </c>
      <c r="C214">
        <v>-8</v>
      </c>
    </row>
    <row r="215" spans="1:3" x14ac:dyDescent="0.25">
      <c r="A215" t="s">
        <v>841</v>
      </c>
      <c r="B215" s="44">
        <v>2185.0889999999999</v>
      </c>
      <c r="C215">
        <v>-9</v>
      </c>
    </row>
    <row r="216" spans="1:3" x14ac:dyDescent="0.25">
      <c r="A216" t="s">
        <v>842</v>
      </c>
      <c r="B216" s="44">
        <v>2185.0889999999999</v>
      </c>
      <c r="C216">
        <v>-9</v>
      </c>
    </row>
    <row r="217" spans="1:3" x14ac:dyDescent="0.25">
      <c r="A217" t="s">
        <v>843</v>
      </c>
      <c r="B217" s="44">
        <v>2087</v>
      </c>
      <c r="C217">
        <v>-8</v>
      </c>
    </row>
    <row r="218" spans="1:3" x14ac:dyDescent="0.25">
      <c r="A218" t="s">
        <v>844</v>
      </c>
      <c r="B218" s="44">
        <v>2281.0909999999999</v>
      </c>
      <c r="C218">
        <v>-9</v>
      </c>
    </row>
    <row r="219" spans="1:3" x14ac:dyDescent="0.25">
      <c r="A219" t="s">
        <v>845</v>
      </c>
      <c r="B219" s="44">
        <v>2087</v>
      </c>
      <c r="C219">
        <v>-8</v>
      </c>
    </row>
    <row r="220" spans="1:3" x14ac:dyDescent="0.25">
      <c r="A220" t="s">
        <v>846</v>
      </c>
      <c r="B220" s="44">
        <v>2548.2270000000003</v>
      </c>
      <c r="C220">
        <v>-11</v>
      </c>
    </row>
    <row r="221" spans="1:3" x14ac:dyDescent="0.25">
      <c r="A221" t="s">
        <v>847</v>
      </c>
      <c r="B221" s="44">
        <v>2087</v>
      </c>
      <c r="C221">
        <v>-9</v>
      </c>
    </row>
    <row r="222" spans="1:3" x14ac:dyDescent="0.25">
      <c r="A222" t="s">
        <v>848</v>
      </c>
      <c r="B222" s="44">
        <v>2790.319</v>
      </c>
      <c r="C222">
        <v>-11</v>
      </c>
    </row>
    <row r="223" spans="1:3" x14ac:dyDescent="0.25">
      <c r="A223" t="s">
        <v>849</v>
      </c>
      <c r="B223" s="44">
        <v>2281.0909999999999</v>
      </c>
      <c r="C223">
        <v>-9</v>
      </c>
    </row>
    <row r="224" spans="1:3" x14ac:dyDescent="0.25">
      <c r="A224" t="s">
        <v>850</v>
      </c>
      <c r="B224" s="44">
        <v>1988.9109999999998</v>
      </c>
      <c r="C224">
        <v>-8</v>
      </c>
    </row>
    <row r="225" spans="1:3" x14ac:dyDescent="0.25">
      <c r="A225" t="s">
        <v>851</v>
      </c>
      <c r="B225" s="44">
        <v>2087</v>
      </c>
      <c r="C225">
        <v>-8</v>
      </c>
    </row>
    <row r="226" spans="1:3" x14ac:dyDescent="0.25">
      <c r="A226" t="s">
        <v>852</v>
      </c>
      <c r="B226" s="44">
        <v>2185.0889999999999</v>
      </c>
      <c r="C226">
        <v>-9</v>
      </c>
    </row>
    <row r="227" spans="1:3" x14ac:dyDescent="0.25">
      <c r="A227" t="s">
        <v>853</v>
      </c>
      <c r="B227" s="44">
        <v>2185.0889999999999</v>
      </c>
      <c r="C227">
        <v>-9</v>
      </c>
    </row>
    <row r="228" spans="1:3" x14ac:dyDescent="0.25">
      <c r="A228" t="s">
        <v>854</v>
      </c>
      <c r="B228" s="44">
        <v>2087</v>
      </c>
      <c r="C228">
        <v>-9</v>
      </c>
    </row>
    <row r="229" spans="1:3" x14ac:dyDescent="0.25">
      <c r="A229" t="s">
        <v>855</v>
      </c>
      <c r="B229" s="44">
        <v>2087</v>
      </c>
      <c r="C229">
        <v>-8</v>
      </c>
    </row>
    <row r="230" spans="1:3" x14ac:dyDescent="0.25">
      <c r="A230" t="s">
        <v>856</v>
      </c>
      <c r="B230" s="44">
        <v>2548.2270000000003</v>
      </c>
      <c r="C230">
        <v>-11</v>
      </c>
    </row>
    <row r="231" spans="1:3" x14ac:dyDescent="0.25">
      <c r="A231" t="s">
        <v>857</v>
      </c>
      <c r="B231" s="44">
        <v>2087</v>
      </c>
      <c r="C231">
        <v>-8</v>
      </c>
    </row>
    <row r="232" spans="1:3" x14ac:dyDescent="0.25">
      <c r="A232" t="s">
        <v>858</v>
      </c>
      <c r="B232" s="44">
        <v>1988.9109999999998</v>
      </c>
      <c r="C232">
        <v>-8</v>
      </c>
    </row>
    <row r="233" spans="1:3" x14ac:dyDescent="0.25">
      <c r="A233" t="s">
        <v>858</v>
      </c>
      <c r="B233" s="44">
        <v>1892.9090000000001</v>
      </c>
      <c r="C233">
        <v>-8</v>
      </c>
    </row>
    <row r="234" spans="1:3" x14ac:dyDescent="0.25">
      <c r="A234" t="s">
        <v>858</v>
      </c>
      <c r="B234" s="44">
        <v>1988.9109999999998</v>
      </c>
      <c r="C234">
        <v>-8</v>
      </c>
    </row>
    <row r="235" spans="1:3" x14ac:dyDescent="0.25">
      <c r="A235" t="s">
        <v>858</v>
      </c>
      <c r="B235" s="44">
        <v>1988.9109999999998</v>
      </c>
      <c r="C235">
        <v>-8</v>
      </c>
    </row>
    <row r="236" spans="1:3" x14ac:dyDescent="0.25">
      <c r="A236" t="s">
        <v>859</v>
      </c>
      <c r="B236" s="44">
        <v>2087</v>
      </c>
      <c r="C236">
        <v>-9</v>
      </c>
    </row>
    <row r="237" spans="1:3" x14ac:dyDescent="0.25">
      <c r="A237" t="s">
        <v>860</v>
      </c>
      <c r="B237" s="44">
        <v>2087</v>
      </c>
      <c r="C237">
        <v>-8</v>
      </c>
    </row>
    <row r="238" spans="1:3" x14ac:dyDescent="0.25">
      <c r="A238" t="s">
        <v>861</v>
      </c>
      <c r="B238" s="44">
        <v>2281.0909999999999</v>
      </c>
      <c r="C238">
        <v>-9</v>
      </c>
    </row>
    <row r="239" spans="1:3" x14ac:dyDescent="0.25">
      <c r="A239" t="s">
        <v>862</v>
      </c>
      <c r="B239" s="44">
        <v>2185.0889999999999</v>
      </c>
      <c r="C239">
        <v>-9</v>
      </c>
    </row>
    <row r="240" spans="1:3" x14ac:dyDescent="0.25">
      <c r="A240" t="s">
        <v>863</v>
      </c>
      <c r="B240" s="44">
        <v>2087</v>
      </c>
      <c r="C240">
        <v>-8</v>
      </c>
    </row>
    <row r="241" spans="1:3" x14ac:dyDescent="0.25">
      <c r="A241" t="s">
        <v>864</v>
      </c>
      <c r="B241" s="44">
        <v>2281.0909999999999</v>
      </c>
      <c r="C241">
        <v>-9</v>
      </c>
    </row>
    <row r="242" spans="1:3" x14ac:dyDescent="0.25">
      <c r="A242" t="s">
        <v>865</v>
      </c>
      <c r="B242" s="44">
        <v>2087</v>
      </c>
      <c r="C242">
        <v>-8</v>
      </c>
    </row>
    <row r="243" spans="1:3" x14ac:dyDescent="0.25">
      <c r="A243" t="s">
        <v>866</v>
      </c>
      <c r="B243" s="44">
        <v>2087</v>
      </c>
      <c r="C243">
        <v>-8</v>
      </c>
    </row>
    <row r="244" spans="1:3" x14ac:dyDescent="0.25">
      <c r="A244" t="s">
        <v>867</v>
      </c>
      <c r="B244" s="44">
        <v>2185.0889999999999</v>
      </c>
      <c r="C244">
        <v>-9</v>
      </c>
    </row>
    <row r="245" spans="1:3" x14ac:dyDescent="0.25">
      <c r="A245" t="s">
        <v>868</v>
      </c>
      <c r="B245" s="44">
        <v>2185.0889999999999</v>
      </c>
      <c r="C245">
        <v>-9</v>
      </c>
    </row>
    <row r="246" spans="1:3" x14ac:dyDescent="0.25">
      <c r="A246" t="s">
        <v>869</v>
      </c>
      <c r="B246" s="44">
        <v>2281.0909999999999</v>
      </c>
      <c r="C246">
        <v>-10</v>
      </c>
    </row>
    <row r="247" spans="1:3" x14ac:dyDescent="0.25">
      <c r="A247" t="s">
        <v>870</v>
      </c>
      <c r="B247" s="44">
        <v>2281.0909999999999</v>
      </c>
      <c r="C247">
        <v>-9</v>
      </c>
    </row>
    <row r="248" spans="1:3" x14ac:dyDescent="0.25">
      <c r="A248" t="s">
        <v>871</v>
      </c>
      <c r="B248" s="44">
        <v>2281.0909999999999</v>
      </c>
      <c r="C248">
        <v>-10</v>
      </c>
    </row>
    <row r="249" spans="1:3" x14ac:dyDescent="0.25">
      <c r="A249" t="s">
        <v>872</v>
      </c>
      <c r="B249" s="44">
        <v>2548.2270000000003</v>
      </c>
      <c r="C249">
        <v>-11</v>
      </c>
    </row>
    <row r="250" spans="1:3" x14ac:dyDescent="0.25">
      <c r="A250" t="s">
        <v>873</v>
      </c>
      <c r="B250" s="44">
        <v>2087</v>
      </c>
      <c r="C250">
        <v>-8</v>
      </c>
    </row>
    <row r="251" spans="1:3" x14ac:dyDescent="0.25">
      <c r="A251" t="s">
        <v>874</v>
      </c>
      <c r="B251" s="44">
        <v>2548.2270000000003</v>
      </c>
      <c r="C251">
        <v>-11</v>
      </c>
    </row>
    <row r="252" spans="1:3" x14ac:dyDescent="0.25">
      <c r="A252" t="s">
        <v>875</v>
      </c>
      <c r="B252" s="44">
        <v>1988.9109999999998</v>
      </c>
      <c r="C252">
        <v>-8</v>
      </c>
    </row>
    <row r="253" spans="1:3" x14ac:dyDescent="0.25">
      <c r="A253" t="s">
        <v>876</v>
      </c>
      <c r="B253" s="44">
        <v>2379.1800000000003</v>
      </c>
      <c r="C253">
        <v>-10</v>
      </c>
    </row>
    <row r="254" spans="1:3" x14ac:dyDescent="0.25">
      <c r="A254" t="s">
        <v>877</v>
      </c>
      <c r="B254" s="44">
        <v>2087</v>
      </c>
      <c r="C254">
        <v>-8</v>
      </c>
    </row>
    <row r="255" spans="1:3" x14ac:dyDescent="0.25">
      <c r="A255" t="s">
        <v>878</v>
      </c>
      <c r="B255" s="44">
        <v>2185.0889999999999</v>
      </c>
      <c r="C255">
        <v>-9</v>
      </c>
    </row>
    <row r="256" spans="1:3" x14ac:dyDescent="0.25">
      <c r="A256" t="s">
        <v>879</v>
      </c>
      <c r="B256" s="44">
        <v>2087</v>
      </c>
      <c r="C256">
        <v>-8</v>
      </c>
    </row>
    <row r="257" spans="1:3" x14ac:dyDescent="0.25">
      <c r="A257" t="s">
        <v>880</v>
      </c>
      <c r="B257" s="44">
        <v>2087</v>
      </c>
      <c r="C257">
        <v>-8</v>
      </c>
    </row>
    <row r="258" spans="1:3" x14ac:dyDescent="0.25">
      <c r="A258" t="s">
        <v>881</v>
      </c>
      <c r="B258" s="44">
        <v>2281.0909999999999</v>
      </c>
      <c r="C258">
        <v>-10</v>
      </c>
    </row>
    <row r="259" spans="1:3" x14ac:dyDescent="0.25">
      <c r="A259" t="s">
        <v>882</v>
      </c>
      <c r="B259" s="44">
        <v>1988.9109999999998</v>
      </c>
      <c r="C259">
        <v>-8</v>
      </c>
    </row>
    <row r="260" spans="1:3" x14ac:dyDescent="0.25">
      <c r="A260" t="s">
        <v>883</v>
      </c>
      <c r="B260" s="44">
        <v>1988.9109999999998</v>
      </c>
      <c r="C260">
        <v>-8</v>
      </c>
    </row>
    <row r="261" spans="1:3" x14ac:dyDescent="0.25">
      <c r="A261" t="s">
        <v>884</v>
      </c>
      <c r="B261" s="44">
        <v>2379.1800000000003</v>
      </c>
      <c r="C261">
        <v>-10</v>
      </c>
    </row>
    <row r="262" spans="1:3" x14ac:dyDescent="0.25">
      <c r="A262" t="s">
        <v>885</v>
      </c>
      <c r="B262" s="44">
        <v>2087</v>
      </c>
      <c r="C262">
        <v>-8</v>
      </c>
    </row>
    <row r="263" spans="1:3" x14ac:dyDescent="0.25">
      <c r="A263" t="s">
        <v>886</v>
      </c>
      <c r="B263" s="44">
        <v>2087</v>
      </c>
      <c r="C263">
        <v>-8</v>
      </c>
    </row>
    <row r="264" spans="1:3" x14ac:dyDescent="0.25">
      <c r="A264" t="s">
        <v>887</v>
      </c>
      <c r="B264" s="44">
        <v>1892.9090000000001</v>
      </c>
      <c r="C264">
        <v>-7</v>
      </c>
    </row>
    <row r="265" spans="1:3" x14ac:dyDescent="0.25">
      <c r="A265" t="s">
        <v>888</v>
      </c>
      <c r="B265" s="44">
        <v>2185.0889999999999</v>
      </c>
      <c r="C265">
        <v>-9</v>
      </c>
    </row>
    <row r="266" spans="1:3" x14ac:dyDescent="0.25">
      <c r="A266" t="s">
        <v>889</v>
      </c>
      <c r="B266" s="44">
        <v>2087</v>
      </c>
      <c r="C266">
        <v>-8</v>
      </c>
    </row>
    <row r="267" spans="1:3" x14ac:dyDescent="0.25">
      <c r="A267" t="s">
        <v>890</v>
      </c>
      <c r="B267" s="44">
        <v>2185.0889999999999</v>
      </c>
      <c r="C267">
        <v>-8</v>
      </c>
    </row>
    <row r="268" spans="1:3" x14ac:dyDescent="0.25">
      <c r="A268" t="s">
        <v>891</v>
      </c>
      <c r="B268" s="44">
        <v>2281.0909999999999</v>
      </c>
      <c r="C268">
        <v>-9</v>
      </c>
    </row>
    <row r="269" spans="1:3" x14ac:dyDescent="0.25">
      <c r="A269" t="s">
        <v>892</v>
      </c>
      <c r="B269" s="44">
        <v>2087</v>
      </c>
      <c r="C269">
        <v>-8</v>
      </c>
    </row>
    <row r="270" spans="1:3" x14ac:dyDescent="0.25">
      <c r="A270" t="s">
        <v>893</v>
      </c>
      <c r="B270" s="44">
        <v>2185.0889999999999</v>
      </c>
      <c r="C270">
        <v>-9</v>
      </c>
    </row>
    <row r="271" spans="1:3" x14ac:dyDescent="0.25">
      <c r="A271" t="s">
        <v>894</v>
      </c>
      <c r="B271" s="44">
        <v>2379.1800000000003</v>
      </c>
      <c r="C271">
        <v>-10</v>
      </c>
    </row>
    <row r="272" spans="1:3" x14ac:dyDescent="0.25">
      <c r="A272" t="s">
        <v>895</v>
      </c>
      <c r="B272" s="44">
        <v>2185.0889999999999</v>
      </c>
      <c r="C272">
        <v>-9</v>
      </c>
    </row>
    <row r="273" spans="1:3" x14ac:dyDescent="0.25">
      <c r="A273" t="s">
        <v>896</v>
      </c>
      <c r="B273" s="44">
        <v>2087</v>
      </c>
      <c r="C273">
        <v>-8</v>
      </c>
    </row>
    <row r="274" spans="1:3" x14ac:dyDescent="0.25">
      <c r="A274" t="s">
        <v>897</v>
      </c>
      <c r="B274" s="44">
        <v>2185.0889999999999</v>
      </c>
      <c r="C274">
        <v>-9</v>
      </c>
    </row>
    <row r="275" spans="1:3" x14ac:dyDescent="0.25">
      <c r="A275" t="s">
        <v>898</v>
      </c>
      <c r="B275" s="44">
        <v>1988.9109999999998</v>
      </c>
      <c r="C275">
        <v>-8</v>
      </c>
    </row>
    <row r="276" spans="1:3" x14ac:dyDescent="0.25">
      <c r="A276" t="s">
        <v>899</v>
      </c>
      <c r="B276" s="44">
        <v>2087</v>
      </c>
      <c r="C276">
        <v>-9</v>
      </c>
    </row>
    <row r="277" spans="1:3" x14ac:dyDescent="0.25">
      <c r="A277" t="s">
        <v>900</v>
      </c>
      <c r="B277" s="44">
        <v>1988.9109999999998</v>
      </c>
      <c r="C277">
        <v>-8</v>
      </c>
    </row>
    <row r="278" spans="1:3" x14ac:dyDescent="0.25">
      <c r="A278" t="s">
        <v>901</v>
      </c>
      <c r="B278" s="44">
        <v>2185.0889999999999</v>
      </c>
      <c r="C278">
        <v>-9</v>
      </c>
    </row>
    <row r="279" spans="1:3" x14ac:dyDescent="0.25">
      <c r="A279" t="s">
        <v>902</v>
      </c>
      <c r="B279" s="44">
        <v>1988.9109999999998</v>
      </c>
      <c r="C279">
        <v>-8</v>
      </c>
    </row>
    <row r="280" spans="1:3" x14ac:dyDescent="0.25">
      <c r="A280" t="s">
        <v>903</v>
      </c>
      <c r="B280" s="44">
        <v>2087</v>
      </c>
      <c r="C280">
        <v>-8</v>
      </c>
    </row>
    <row r="281" spans="1:3" x14ac:dyDescent="0.25">
      <c r="A281" t="s">
        <v>904</v>
      </c>
      <c r="B281" s="44">
        <v>2548.2270000000003</v>
      </c>
      <c r="C281">
        <v>-11</v>
      </c>
    </row>
    <row r="282" spans="1:3" x14ac:dyDescent="0.25">
      <c r="A282" t="s">
        <v>905</v>
      </c>
      <c r="B282" s="44">
        <v>2185.0889999999999</v>
      </c>
      <c r="C282">
        <v>-9</v>
      </c>
    </row>
    <row r="283" spans="1:3" x14ac:dyDescent="0.25">
      <c r="A283" t="s">
        <v>906</v>
      </c>
      <c r="B283" s="44">
        <v>2185.0889999999999</v>
      </c>
      <c r="C283">
        <v>-8</v>
      </c>
    </row>
    <row r="284" spans="1:3" x14ac:dyDescent="0.25">
      <c r="A284" t="s">
        <v>907</v>
      </c>
      <c r="B284" s="44">
        <v>2281.0909999999999</v>
      </c>
      <c r="C284">
        <v>-10</v>
      </c>
    </row>
    <row r="285" spans="1:3" x14ac:dyDescent="0.25">
      <c r="A285" t="s">
        <v>908</v>
      </c>
      <c r="B285" s="44">
        <v>2087</v>
      </c>
      <c r="C285">
        <v>-8</v>
      </c>
    </row>
    <row r="286" spans="1:3" x14ac:dyDescent="0.25">
      <c r="A286" t="s">
        <v>909</v>
      </c>
      <c r="B286" s="44">
        <v>2185.0889999999999</v>
      </c>
      <c r="C286">
        <v>-9</v>
      </c>
    </row>
    <row r="287" spans="1:3" x14ac:dyDescent="0.25">
      <c r="A287" t="s">
        <v>910</v>
      </c>
      <c r="B287" s="44">
        <v>2281.0909999999999</v>
      </c>
      <c r="C287">
        <v>-9</v>
      </c>
    </row>
    <row r="288" spans="1:3" x14ac:dyDescent="0.25">
      <c r="A288" t="s">
        <v>911</v>
      </c>
      <c r="B288" s="44">
        <v>2185.0889999999999</v>
      </c>
      <c r="C288">
        <v>-9</v>
      </c>
    </row>
    <row r="289" spans="1:3" x14ac:dyDescent="0.25">
      <c r="A289" t="s">
        <v>912</v>
      </c>
      <c r="B289" s="44">
        <v>2281.0909999999999</v>
      </c>
      <c r="C289">
        <v>-10</v>
      </c>
    </row>
    <row r="290" spans="1:3" x14ac:dyDescent="0.25">
      <c r="A290" t="s">
        <v>913</v>
      </c>
      <c r="B290" s="44">
        <v>2379.1800000000003</v>
      </c>
      <c r="C290">
        <v>-10</v>
      </c>
    </row>
    <row r="291" spans="1:3" x14ac:dyDescent="0.25">
      <c r="A291" t="s">
        <v>913</v>
      </c>
      <c r="B291" s="44">
        <v>2087</v>
      </c>
      <c r="C291">
        <v>-8</v>
      </c>
    </row>
    <row r="292" spans="1:3" x14ac:dyDescent="0.25">
      <c r="A292" t="s">
        <v>914</v>
      </c>
      <c r="B292" s="44">
        <v>2185.0889999999999</v>
      </c>
      <c r="C292">
        <v>-9</v>
      </c>
    </row>
    <row r="293" spans="1:3" x14ac:dyDescent="0.25">
      <c r="A293" t="s">
        <v>915</v>
      </c>
      <c r="B293" s="44">
        <v>2087</v>
      </c>
      <c r="C293">
        <v>-8</v>
      </c>
    </row>
    <row r="294" spans="1:3" x14ac:dyDescent="0.25">
      <c r="A294" t="s">
        <v>916</v>
      </c>
      <c r="B294" s="44">
        <v>2087</v>
      </c>
      <c r="C294">
        <v>-8</v>
      </c>
    </row>
    <row r="295" spans="1:3" x14ac:dyDescent="0.25">
      <c r="A295" t="s">
        <v>917</v>
      </c>
      <c r="B295" s="44">
        <v>2281.0909999999999</v>
      </c>
      <c r="C295">
        <v>-9</v>
      </c>
    </row>
    <row r="296" spans="1:3" x14ac:dyDescent="0.25">
      <c r="A296" t="s">
        <v>918</v>
      </c>
      <c r="B296" s="44">
        <v>2185.0889999999999</v>
      </c>
      <c r="C296">
        <v>-9</v>
      </c>
    </row>
    <row r="297" spans="1:3" x14ac:dyDescent="0.25">
      <c r="A297" t="s">
        <v>919</v>
      </c>
      <c r="B297" s="44">
        <v>1988.9109999999998</v>
      </c>
      <c r="C297">
        <v>-8</v>
      </c>
    </row>
    <row r="298" spans="1:3" x14ac:dyDescent="0.25">
      <c r="A298" t="s">
        <v>920</v>
      </c>
      <c r="B298" s="44">
        <v>2281.0909999999999</v>
      </c>
      <c r="C298">
        <v>-9</v>
      </c>
    </row>
    <row r="299" spans="1:3" x14ac:dyDescent="0.25">
      <c r="A299" t="s">
        <v>921</v>
      </c>
      <c r="B299" s="44">
        <v>2087</v>
      </c>
      <c r="C299">
        <v>-8</v>
      </c>
    </row>
    <row r="300" spans="1:3" x14ac:dyDescent="0.25">
      <c r="A300" t="s">
        <v>922</v>
      </c>
      <c r="B300" s="44">
        <v>2548.2270000000003</v>
      </c>
      <c r="C300">
        <v>-11</v>
      </c>
    </row>
    <row r="301" spans="1:3" x14ac:dyDescent="0.25">
      <c r="A301" t="s">
        <v>923</v>
      </c>
      <c r="B301" s="44">
        <v>2281.0909999999999</v>
      </c>
      <c r="C301">
        <v>-9</v>
      </c>
    </row>
    <row r="302" spans="1:3" x14ac:dyDescent="0.25">
      <c r="A302" t="s">
        <v>924</v>
      </c>
      <c r="B302" s="44">
        <v>2379.1800000000003</v>
      </c>
      <c r="C302">
        <v>-10</v>
      </c>
    </row>
    <row r="303" spans="1:3" x14ac:dyDescent="0.25">
      <c r="A303" t="s">
        <v>925</v>
      </c>
      <c r="B303" s="44">
        <v>2087</v>
      </c>
      <c r="C303">
        <v>-9</v>
      </c>
    </row>
    <row r="304" spans="1:3" x14ac:dyDescent="0.25">
      <c r="A304" t="s">
        <v>926</v>
      </c>
      <c r="B304" s="44">
        <v>1892.9090000000001</v>
      </c>
      <c r="C304">
        <v>-7</v>
      </c>
    </row>
    <row r="305" spans="1:3" x14ac:dyDescent="0.25">
      <c r="A305" t="s">
        <v>927</v>
      </c>
      <c r="B305" s="44">
        <v>1988.9109999999998</v>
      </c>
      <c r="C305">
        <v>-8</v>
      </c>
    </row>
    <row r="306" spans="1:3" x14ac:dyDescent="0.25">
      <c r="A306" t="s">
        <v>928</v>
      </c>
      <c r="B306" s="44">
        <v>2185.0889999999999</v>
      </c>
      <c r="C306">
        <v>-8</v>
      </c>
    </row>
    <row r="307" spans="1:3" x14ac:dyDescent="0.25">
      <c r="A307" t="s">
        <v>929</v>
      </c>
      <c r="B307" s="44">
        <v>1988.9109999999998</v>
      </c>
      <c r="C307">
        <v>-8</v>
      </c>
    </row>
    <row r="308" spans="1:3" x14ac:dyDescent="0.25">
      <c r="A308" t="s">
        <v>930</v>
      </c>
      <c r="B308" s="44">
        <v>2087</v>
      </c>
      <c r="C308">
        <v>-8</v>
      </c>
    </row>
    <row r="309" spans="1:3" x14ac:dyDescent="0.25">
      <c r="A309" t="s">
        <v>931</v>
      </c>
      <c r="B309" s="44">
        <v>1988.9109999999998</v>
      </c>
      <c r="C309">
        <v>-8</v>
      </c>
    </row>
    <row r="310" spans="1:3" x14ac:dyDescent="0.25">
      <c r="A310" t="s">
        <v>932</v>
      </c>
      <c r="B310" s="44">
        <v>2087</v>
      </c>
      <c r="C310">
        <v>-8</v>
      </c>
    </row>
    <row r="311" spans="1:3" x14ac:dyDescent="0.25">
      <c r="A311" t="s">
        <v>933</v>
      </c>
      <c r="B311" s="44">
        <v>2185.0889999999999</v>
      </c>
      <c r="C311">
        <v>-9</v>
      </c>
    </row>
    <row r="312" spans="1:3" x14ac:dyDescent="0.25">
      <c r="A312" t="s">
        <v>934</v>
      </c>
      <c r="B312" s="44">
        <v>2087</v>
      </c>
      <c r="C312">
        <v>-9</v>
      </c>
    </row>
    <row r="313" spans="1:3" x14ac:dyDescent="0.25">
      <c r="A313" t="s">
        <v>935</v>
      </c>
      <c r="B313" s="44">
        <v>2379.1800000000003</v>
      </c>
      <c r="C313">
        <v>-10</v>
      </c>
    </row>
    <row r="314" spans="1:3" x14ac:dyDescent="0.25">
      <c r="A314" t="s">
        <v>936</v>
      </c>
      <c r="B314" s="44">
        <v>1988.9109999999998</v>
      </c>
      <c r="C314">
        <v>-8</v>
      </c>
    </row>
    <row r="315" spans="1:3" x14ac:dyDescent="0.25">
      <c r="A315" t="s">
        <v>937</v>
      </c>
      <c r="B315" s="44">
        <v>2087</v>
      </c>
      <c r="C315">
        <v>-9</v>
      </c>
    </row>
    <row r="316" spans="1:3" x14ac:dyDescent="0.25">
      <c r="A316" t="s">
        <v>938</v>
      </c>
      <c r="B316" s="44">
        <v>1988.9109999999998</v>
      </c>
      <c r="C316">
        <v>-8</v>
      </c>
    </row>
    <row r="317" spans="1:3" x14ac:dyDescent="0.25">
      <c r="A317" t="s">
        <v>939</v>
      </c>
      <c r="B317" s="44">
        <v>2087</v>
      </c>
      <c r="C317">
        <v>-8</v>
      </c>
    </row>
    <row r="318" spans="1:3" x14ac:dyDescent="0.25">
      <c r="A318" t="s">
        <v>940</v>
      </c>
      <c r="B318" s="44">
        <v>2185.0889999999999</v>
      </c>
      <c r="C318">
        <v>-9</v>
      </c>
    </row>
    <row r="319" spans="1:3" x14ac:dyDescent="0.25">
      <c r="A319" t="s">
        <v>941</v>
      </c>
      <c r="B319" s="44">
        <v>2087</v>
      </c>
      <c r="C319">
        <v>-8</v>
      </c>
    </row>
    <row r="320" spans="1:3" x14ac:dyDescent="0.25">
      <c r="A320" t="s">
        <v>942</v>
      </c>
      <c r="B320" s="44">
        <v>2087</v>
      </c>
      <c r="C320">
        <v>-8</v>
      </c>
    </row>
    <row r="321" spans="1:3" x14ac:dyDescent="0.25">
      <c r="A321" t="s">
        <v>943</v>
      </c>
      <c r="B321" s="44">
        <v>2087</v>
      </c>
      <c r="C321">
        <v>-8</v>
      </c>
    </row>
    <row r="322" spans="1:3" x14ac:dyDescent="0.25">
      <c r="A322" t="s">
        <v>944</v>
      </c>
      <c r="B322" s="44">
        <v>2185.0889999999999</v>
      </c>
      <c r="C322">
        <v>-9</v>
      </c>
    </row>
    <row r="323" spans="1:3" x14ac:dyDescent="0.25">
      <c r="A323" t="s">
        <v>945</v>
      </c>
      <c r="B323" s="44">
        <v>1988.9109999999998</v>
      </c>
      <c r="C323">
        <v>-8</v>
      </c>
    </row>
    <row r="324" spans="1:3" x14ac:dyDescent="0.25">
      <c r="A324" t="s">
        <v>946</v>
      </c>
      <c r="B324" s="44">
        <v>2281.0909999999999</v>
      </c>
      <c r="C324">
        <v>-9</v>
      </c>
    </row>
    <row r="325" spans="1:3" x14ac:dyDescent="0.25">
      <c r="A325" t="s">
        <v>947</v>
      </c>
      <c r="B325" s="44">
        <v>2185.0889999999999</v>
      </c>
      <c r="C325">
        <v>-9</v>
      </c>
    </row>
    <row r="326" spans="1:3" x14ac:dyDescent="0.25">
      <c r="A326" t="s">
        <v>948</v>
      </c>
      <c r="B326" s="44">
        <v>2185.0889999999999</v>
      </c>
      <c r="C326">
        <v>-8</v>
      </c>
    </row>
    <row r="327" spans="1:3" x14ac:dyDescent="0.25">
      <c r="A327" t="s">
        <v>949</v>
      </c>
      <c r="B327" s="44">
        <v>2790.319</v>
      </c>
      <c r="C327">
        <v>-10</v>
      </c>
    </row>
    <row r="328" spans="1:3" x14ac:dyDescent="0.25">
      <c r="A328" t="s">
        <v>950</v>
      </c>
      <c r="B328" s="44">
        <v>2379.1800000000003</v>
      </c>
      <c r="C328">
        <v>-10</v>
      </c>
    </row>
    <row r="329" spans="1:3" x14ac:dyDescent="0.25">
      <c r="A329" t="s">
        <v>951</v>
      </c>
      <c r="B329" s="44">
        <v>2548.2270000000003</v>
      </c>
      <c r="C329">
        <v>-10</v>
      </c>
    </row>
    <row r="330" spans="1:3" x14ac:dyDescent="0.25">
      <c r="A330" t="s">
        <v>952</v>
      </c>
      <c r="B330" s="44">
        <v>2548.2270000000003</v>
      </c>
      <c r="C330">
        <v>-10</v>
      </c>
    </row>
    <row r="331" spans="1:3" x14ac:dyDescent="0.25">
      <c r="A331" t="s">
        <v>953</v>
      </c>
      <c r="B331" s="44">
        <v>2185.0889999999999</v>
      </c>
      <c r="C331">
        <v>-8</v>
      </c>
    </row>
    <row r="332" spans="1:3" x14ac:dyDescent="0.25">
      <c r="A332" t="s">
        <v>954</v>
      </c>
      <c r="B332" s="44">
        <v>2087</v>
      </c>
      <c r="C332">
        <v>-8</v>
      </c>
    </row>
    <row r="333" spans="1:3" x14ac:dyDescent="0.25">
      <c r="A333" t="s">
        <v>955</v>
      </c>
      <c r="B333" s="44">
        <v>2379.1800000000003</v>
      </c>
      <c r="C333">
        <v>-10</v>
      </c>
    </row>
    <row r="334" spans="1:3" x14ac:dyDescent="0.25">
      <c r="A334" t="s">
        <v>956</v>
      </c>
      <c r="B334" s="44">
        <v>2281.0909999999999</v>
      </c>
      <c r="C334">
        <v>-9</v>
      </c>
    </row>
    <row r="335" spans="1:3" x14ac:dyDescent="0.25">
      <c r="A335" t="s">
        <v>957</v>
      </c>
      <c r="B335" s="44">
        <v>2185.0889999999999</v>
      </c>
      <c r="C335">
        <v>-8</v>
      </c>
    </row>
    <row r="336" spans="1:3" x14ac:dyDescent="0.25">
      <c r="A336" t="s">
        <v>958</v>
      </c>
      <c r="B336" s="44">
        <v>2087</v>
      </c>
      <c r="C336">
        <v>-8</v>
      </c>
    </row>
    <row r="337" spans="1:3" x14ac:dyDescent="0.25">
      <c r="A337" t="s">
        <v>959</v>
      </c>
      <c r="B337" s="44">
        <v>2281.0909999999999</v>
      </c>
      <c r="C337">
        <v>-10</v>
      </c>
    </row>
    <row r="338" spans="1:3" x14ac:dyDescent="0.25">
      <c r="A338" t="s">
        <v>960</v>
      </c>
      <c r="B338" s="44">
        <v>2087</v>
      </c>
      <c r="C338">
        <v>-8</v>
      </c>
    </row>
    <row r="339" spans="1:3" x14ac:dyDescent="0.25">
      <c r="A339" t="s">
        <v>961</v>
      </c>
      <c r="B339" s="44">
        <v>2087</v>
      </c>
      <c r="C339">
        <v>-9</v>
      </c>
    </row>
    <row r="340" spans="1:3" x14ac:dyDescent="0.25">
      <c r="A340" t="s">
        <v>962</v>
      </c>
      <c r="B340" s="44">
        <v>1988.9109999999998</v>
      </c>
      <c r="C340">
        <v>-8</v>
      </c>
    </row>
    <row r="341" spans="1:3" x14ac:dyDescent="0.25">
      <c r="A341" t="s">
        <v>963</v>
      </c>
      <c r="B341" s="44">
        <v>2087</v>
      </c>
      <c r="C341">
        <v>-8</v>
      </c>
    </row>
    <row r="342" spans="1:3" x14ac:dyDescent="0.25">
      <c r="A342" t="s">
        <v>964</v>
      </c>
      <c r="B342" s="44">
        <v>2185.0889999999999</v>
      </c>
      <c r="C342">
        <v>-9</v>
      </c>
    </row>
    <row r="343" spans="1:3" x14ac:dyDescent="0.25">
      <c r="A343" t="s">
        <v>965</v>
      </c>
      <c r="B343" s="44">
        <v>2185.0889999999999</v>
      </c>
      <c r="C343">
        <v>-9</v>
      </c>
    </row>
    <row r="344" spans="1:3" x14ac:dyDescent="0.25">
      <c r="A344" t="s">
        <v>966</v>
      </c>
      <c r="B344" s="44">
        <v>2548.2270000000003</v>
      </c>
      <c r="C344">
        <v>-11</v>
      </c>
    </row>
    <row r="345" spans="1:3" x14ac:dyDescent="0.25">
      <c r="A345" t="s">
        <v>967</v>
      </c>
      <c r="B345" s="44">
        <v>2379.1800000000003</v>
      </c>
      <c r="C345">
        <v>-11</v>
      </c>
    </row>
    <row r="346" spans="1:3" x14ac:dyDescent="0.25">
      <c r="A346" t="s">
        <v>968</v>
      </c>
      <c r="B346" s="44">
        <v>2087</v>
      </c>
      <c r="C346">
        <v>-8</v>
      </c>
    </row>
    <row r="347" spans="1:3" x14ac:dyDescent="0.25">
      <c r="A347" t="s">
        <v>969</v>
      </c>
      <c r="B347" s="44">
        <v>2281.0909999999999</v>
      </c>
      <c r="C347">
        <v>-10</v>
      </c>
    </row>
    <row r="348" spans="1:3" x14ac:dyDescent="0.25">
      <c r="A348" t="s">
        <v>970</v>
      </c>
      <c r="B348" s="44">
        <v>2087</v>
      </c>
      <c r="C348">
        <v>-9</v>
      </c>
    </row>
    <row r="349" spans="1:3" x14ac:dyDescent="0.25">
      <c r="A349" t="s">
        <v>971</v>
      </c>
      <c r="B349" s="44">
        <v>2087</v>
      </c>
      <c r="C349">
        <v>-8</v>
      </c>
    </row>
    <row r="350" spans="1:3" x14ac:dyDescent="0.25">
      <c r="A350" t="s">
        <v>972</v>
      </c>
      <c r="B350" s="44">
        <v>2087</v>
      </c>
      <c r="C350">
        <v>-8</v>
      </c>
    </row>
    <row r="351" spans="1:3" x14ac:dyDescent="0.25">
      <c r="A351" t="s">
        <v>973</v>
      </c>
      <c r="B351" s="44">
        <v>2185.0889999999999</v>
      </c>
      <c r="C351">
        <v>-9</v>
      </c>
    </row>
    <row r="352" spans="1:3" x14ac:dyDescent="0.25">
      <c r="A352" t="s">
        <v>974</v>
      </c>
      <c r="B352" s="44">
        <v>2087</v>
      </c>
      <c r="C352">
        <v>-8</v>
      </c>
    </row>
    <row r="353" spans="1:3" x14ac:dyDescent="0.25">
      <c r="A353" t="s">
        <v>975</v>
      </c>
      <c r="B353" s="44">
        <v>2185.0889999999999</v>
      </c>
      <c r="C353">
        <v>-9</v>
      </c>
    </row>
    <row r="354" spans="1:3" x14ac:dyDescent="0.25">
      <c r="A354" t="s">
        <v>976</v>
      </c>
      <c r="B354" s="44">
        <v>2548.2270000000003</v>
      </c>
      <c r="C354">
        <v>-11</v>
      </c>
    </row>
    <row r="355" spans="1:3" x14ac:dyDescent="0.25">
      <c r="A355" t="s">
        <v>977</v>
      </c>
      <c r="B355" s="44">
        <v>2087</v>
      </c>
      <c r="C355">
        <v>-8</v>
      </c>
    </row>
    <row r="356" spans="1:3" x14ac:dyDescent="0.25">
      <c r="A356" t="s">
        <v>978</v>
      </c>
      <c r="B356" s="44">
        <v>2087</v>
      </c>
      <c r="C356">
        <v>-9</v>
      </c>
    </row>
    <row r="357" spans="1:3" x14ac:dyDescent="0.25">
      <c r="A357" t="s">
        <v>979</v>
      </c>
      <c r="B357" s="44">
        <v>2185.0889999999999</v>
      </c>
      <c r="C357">
        <v>-8</v>
      </c>
    </row>
    <row r="358" spans="1:3" x14ac:dyDescent="0.25">
      <c r="A358" t="s">
        <v>980</v>
      </c>
      <c r="B358" s="44">
        <v>2087</v>
      </c>
      <c r="C358">
        <v>-9</v>
      </c>
    </row>
    <row r="359" spans="1:3" x14ac:dyDescent="0.25">
      <c r="A359" t="s">
        <v>981</v>
      </c>
      <c r="B359" s="44">
        <v>1892.9090000000001</v>
      </c>
      <c r="C359">
        <v>-7</v>
      </c>
    </row>
    <row r="360" spans="1:3" x14ac:dyDescent="0.25">
      <c r="A360" t="s">
        <v>982</v>
      </c>
      <c r="B360" s="44">
        <v>2185.0889999999999</v>
      </c>
      <c r="C360">
        <v>-9</v>
      </c>
    </row>
    <row r="361" spans="1:3" x14ac:dyDescent="0.25">
      <c r="A361" t="s">
        <v>983</v>
      </c>
      <c r="B361" s="44">
        <v>1988.9109999999998</v>
      </c>
      <c r="C361">
        <v>-8</v>
      </c>
    </row>
    <row r="362" spans="1:3" x14ac:dyDescent="0.25">
      <c r="A362" t="s">
        <v>984</v>
      </c>
      <c r="B362" s="44">
        <v>2281.0909999999999</v>
      </c>
      <c r="C362">
        <v>-9</v>
      </c>
    </row>
    <row r="363" spans="1:3" x14ac:dyDescent="0.25">
      <c r="A363" t="s">
        <v>985</v>
      </c>
      <c r="B363" s="44">
        <v>1988.9109999999998</v>
      </c>
      <c r="C363">
        <v>-8</v>
      </c>
    </row>
    <row r="364" spans="1:3" x14ac:dyDescent="0.25">
      <c r="A364" t="s">
        <v>986</v>
      </c>
      <c r="B364" s="44">
        <v>2087</v>
      </c>
      <c r="C364">
        <v>-9</v>
      </c>
    </row>
    <row r="365" spans="1:3" x14ac:dyDescent="0.25">
      <c r="A365" t="s">
        <v>987</v>
      </c>
      <c r="B365" s="44">
        <v>2087</v>
      </c>
      <c r="C365">
        <v>-8</v>
      </c>
    </row>
    <row r="366" spans="1:3" x14ac:dyDescent="0.25">
      <c r="A366" t="s">
        <v>988</v>
      </c>
      <c r="B366" s="44">
        <v>2087</v>
      </c>
      <c r="C366">
        <v>-8</v>
      </c>
    </row>
    <row r="367" spans="1:3" x14ac:dyDescent="0.25">
      <c r="A367" t="s">
        <v>989</v>
      </c>
      <c r="B367" s="44">
        <v>1988.9109999999998</v>
      </c>
      <c r="C367">
        <v>-8</v>
      </c>
    </row>
    <row r="368" spans="1:3" x14ac:dyDescent="0.25">
      <c r="A368" t="s">
        <v>990</v>
      </c>
      <c r="B368" s="44">
        <v>2379.1800000000003</v>
      </c>
      <c r="C368">
        <v>-11</v>
      </c>
    </row>
    <row r="369" spans="1:3" x14ac:dyDescent="0.25">
      <c r="A369" t="s">
        <v>991</v>
      </c>
      <c r="B369" s="44">
        <v>2379.1800000000003</v>
      </c>
      <c r="C369">
        <v>-11</v>
      </c>
    </row>
    <row r="370" spans="1:3" x14ac:dyDescent="0.25">
      <c r="A370" t="s">
        <v>992</v>
      </c>
      <c r="B370" s="44">
        <v>2087</v>
      </c>
      <c r="C370">
        <v>-8</v>
      </c>
    </row>
    <row r="371" spans="1:3" x14ac:dyDescent="0.25">
      <c r="A371" t="s">
        <v>993</v>
      </c>
      <c r="B371" s="44">
        <v>2087</v>
      </c>
      <c r="C371">
        <v>-8</v>
      </c>
    </row>
    <row r="372" spans="1:3" x14ac:dyDescent="0.25">
      <c r="A372" t="s">
        <v>994</v>
      </c>
      <c r="B372" s="44">
        <v>2087</v>
      </c>
      <c r="C372">
        <v>-8</v>
      </c>
    </row>
    <row r="373" spans="1:3" x14ac:dyDescent="0.25">
      <c r="A373" t="s">
        <v>995</v>
      </c>
      <c r="B373" s="44">
        <v>2087</v>
      </c>
      <c r="C373">
        <v>-8</v>
      </c>
    </row>
    <row r="374" spans="1:3" x14ac:dyDescent="0.25">
      <c r="A374" t="s">
        <v>996</v>
      </c>
      <c r="B374" s="44">
        <v>2087</v>
      </c>
      <c r="C374">
        <v>-8</v>
      </c>
    </row>
    <row r="375" spans="1:3" x14ac:dyDescent="0.25">
      <c r="A375" t="s">
        <v>997</v>
      </c>
      <c r="B375" s="44">
        <v>2087</v>
      </c>
      <c r="C375">
        <v>-8</v>
      </c>
    </row>
    <row r="376" spans="1:3" x14ac:dyDescent="0.25">
      <c r="A376" t="s">
        <v>998</v>
      </c>
      <c r="B376" s="44">
        <v>2185.0889999999999</v>
      </c>
      <c r="C376">
        <v>-9</v>
      </c>
    </row>
    <row r="377" spans="1:3" x14ac:dyDescent="0.25">
      <c r="A377" t="s">
        <v>999</v>
      </c>
      <c r="B377" s="44">
        <v>2087</v>
      </c>
      <c r="C377">
        <v>-8</v>
      </c>
    </row>
    <row r="378" spans="1:3" x14ac:dyDescent="0.25">
      <c r="A378" t="s">
        <v>1000</v>
      </c>
      <c r="B378" s="44">
        <v>1988.9109999999998</v>
      </c>
      <c r="C378">
        <v>-8</v>
      </c>
    </row>
    <row r="379" spans="1:3" x14ac:dyDescent="0.25">
      <c r="A379" t="s">
        <v>1001</v>
      </c>
      <c r="B379" s="44">
        <v>2087</v>
      </c>
      <c r="C379">
        <v>-8</v>
      </c>
    </row>
    <row r="380" spans="1:3" x14ac:dyDescent="0.25">
      <c r="A380" t="s">
        <v>1002</v>
      </c>
      <c r="B380" s="44">
        <v>2379.1800000000003</v>
      </c>
      <c r="C380">
        <v>-10</v>
      </c>
    </row>
    <row r="381" spans="1:3" x14ac:dyDescent="0.25">
      <c r="A381" t="s">
        <v>1003</v>
      </c>
      <c r="B381" s="44">
        <v>2087</v>
      </c>
      <c r="C381">
        <v>-8</v>
      </c>
    </row>
    <row r="382" spans="1:3" x14ac:dyDescent="0.25">
      <c r="A382" t="s">
        <v>1004</v>
      </c>
      <c r="B382" s="44">
        <v>2087</v>
      </c>
      <c r="C382">
        <v>-8</v>
      </c>
    </row>
    <row r="383" spans="1:3" x14ac:dyDescent="0.25">
      <c r="A383" t="s">
        <v>1005</v>
      </c>
      <c r="B383" s="44">
        <v>2961.453</v>
      </c>
      <c r="C383">
        <v>-12</v>
      </c>
    </row>
    <row r="384" spans="1:3" x14ac:dyDescent="0.25">
      <c r="A384" t="s">
        <v>1006</v>
      </c>
      <c r="B384" s="44">
        <v>1892.9090000000001</v>
      </c>
      <c r="C384">
        <v>-8</v>
      </c>
    </row>
    <row r="385" spans="1:3" x14ac:dyDescent="0.25">
      <c r="A385" t="s">
        <v>1007</v>
      </c>
      <c r="B385" s="44">
        <v>2087</v>
      </c>
      <c r="C385">
        <v>-8</v>
      </c>
    </row>
    <row r="386" spans="1:3" x14ac:dyDescent="0.25">
      <c r="A386" t="s">
        <v>1008</v>
      </c>
      <c r="B386" s="44">
        <v>1988.9109999999998</v>
      </c>
      <c r="C386">
        <v>-8</v>
      </c>
    </row>
    <row r="387" spans="1:3" x14ac:dyDescent="0.25">
      <c r="A387" t="s">
        <v>1009</v>
      </c>
      <c r="B387" s="44">
        <v>2185.0889999999999</v>
      </c>
      <c r="C387">
        <v>-9</v>
      </c>
    </row>
    <row r="388" spans="1:3" x14ac:dyDescent="0.25">
      <c r="A388" t="s">
        <v>1010</v>
      </c>
      <c r="B388" s="44">
        <v>2548.2270000000003</v>
      </c>
      <c r="C388">
        <v>-10</v>
      </c>
    </row>
    <row r="389" spans="1:3" x14ac:dyDescent="0.25">
      <c r="A389" t="s">
        <v>1011</v>
      </c>
      <c r="B389" s="44">
        <v>2790.319</v>
      </c>
      <c r="C389">
        <v>-11</v>
      </c>
    </row>
    <row r="390" spans="1:3" x14ac:dyDescent="0.25">
      <c r="A390" t="s">
        <v>1012</v>
      </c>
      <c r="B390" s="44">
        <v>2087</v>
      </c>
      <c r="C390">
        <v>-8</v>
      </c>
    </row>
    <row r="391" spans="1:3" x14ac:dyDescent="0.25">
      <c r="A391" t="s">
        <v>1013</v>
      </c>
      <c r="B391" s="44">
        <v>2087</v>
      </c>
      <c r="C391">
        <v>-8</v>
      </c>
    </row>
    <row r="392" spans="1:3" x14ac:dyDescent="0.25">
      <c r="A392" t="s">
        <v>1014</v>
      </c>
      <c r="B392" s="44">
        <v>2961.453</v>
      </c>
      <c r="C392">
        <v>-12</v>
      </c>
    </row>
    <row r="393" spans="1:3" x14ac:dyDescent="0.25">
      <c r="A393" t="s">
        <v>1015</v>
      </c>
      <c r="B393" s="44">
        <v>2087</v>
      </c>
      <c r="C393">
        <v>-9</v>
      </c>
    </row>
    <row r="394" spans="1:3" x14ac:dyDescent="0.25">
      <c r="A394" t="s">
        <v>1016</v>
      </c>
      <c r="B394" s="44">
        <v>2185.0889999999999</v>
      </c>
      <c r="C394">
        <v>-9</v>
      </c>
    </row>
    <row r="395" spans="1:3" x14ac:dyDescent="0.25">
      <c r="A395" t="s">
        <v>1017</v>
      </c>
      <c r="B395" s="44">
        <v>2548.2270000000003</v>
      </c>
      <c r="C395">
        <v>-11</v>
      </c>
    </row>
    <row r="396" spans="1:3" x14ac:dyDescent="0.25">
      <c r="A396" t="s">
        <v>1018</v>
      </c>
      <c r="B396" s="44">
        <v>2185.0889999999999</v>
      </c>
      <c r="C396">
        <v>-9</v>
      </c>
    </row>
    <row r="397" spans="1:3" x14ac:dyDescent="0.25">
      <c r="A397" t="s">
        <v>1019</v>
      </c>
      <c r="B397" s="44">
        <v>2087</v>
      </c>
      <c r="C397">
        <v>-8</v>
      </c>
    </row>
    <row r="398" spans="1:3" x14ac:dyDescent="0.25">
      <c r="A398" t="s">
        <v>1020</v>
      </c>
      <c r="B398" s="44">
        <v>2087</v>
      </c>
      <c r="C398">
        <v>-8</v>
      </c>
    </row>
    <row r="399" spans="1:3" x14ac:dyDescent="0.25">
      <c r="A399" t="s">
        <v>1021</v>
      </c>
      <c r="B399" s="44">
        <v>2087</v>
      </c>
      <c r="C399">
        <v>-8</v>
      </c>
    </row>
    <row r="400" spans="1:3" x14ac:dyDescent="0.25">
      <c r="A400" t="s">
        <v>1022</v>
      </c>
      <c r="B400" s="44">
        <v>2087</v>
      </c>
      <c r="C400">
        <v>-8</v>
      </c>
    </row>
    <row r="401" spans="1:3" x14ac:dyDescent="0.25">
      <c r="A401" t="s">
        <v>1023</v>
      </c>
      <c r="B401" s="44">
        <v>2790.319</v>
      </c>
      <c r="C401">
        <v>-11</v>
      </c>
    </row>
    <row r="402" spans="1:3" x14ac:dyDescent="0.25">
      <c r="A402" t="s">
        <v>1024</v>
      </c>
      <c r="B402" s="44">
        <v>2185.0889999999999</v>
      </c>
      <c r="C402">
        <v>-9</v>
      </c>
    </row>
    <row r="403" spans="1:3" x14ac:dyDescent="0.25">
      <c r="A403" t="s">
        <v>1025</v>
      </c>
      <c r="B403" s="44">
        <v>2087</v>
      </c>
      <c r="C403">
        <v>-8</v>
      </c>
    </row>
    <row r="404" spans="1:3" x14ac:dyDescent="0.25">
      <c r="A404" t="s">
        <v>1026</v>
      </c>
      <c r="B404" s="44">
        <v>2281.0909999999999</v>
      </c>
      <c r="C404">
        <v>-9</v>
      </c>
    </row>
    <row r="405" spans="1:3" x14ac:dyDescent="0.25">
      <c r="A405" t="s">
        <v>1027</v>
      </c>
      <c r="B405" s="44">
        <v>2087</v>
      </c>
      <c r="C405">
        <v>-8</v>
      </c>
    </row>
    <row r="406" spans="1:3" x14ac:dyDescent="0.25">
      <c r="A406" t="s">
        <v>1027</v>
      </c>
      <c r="B406" s="44">
        <v>2185.0889999999999</v>
      </c>
      <c r="C406">
        <v>-9</v>
      </c>
    </row>
    <row r="407" spans="1:3" x14ac:dyDescent="0.25">
      <c r="A407" t="s">
        <v>1027</v>
      </c>
      <c r="B407" s="44">
        <v>2379.1800000000003</v>
      </c>
      <c r="C407">
        <v>-10</v>
      </c>
    </row>
    <row r="408" spans="1:3" x14ac:dyDescent="0.25">
      <c r="A408" t="s">
        <v>1028</v>
      </c>
      <c r="B408" s="44">
        <v>2281.0909999999999</v>
      </c>
      <c r="C408">
        <v>-9</v>
      </c>
    </row>
    <row r="409" spans="1:3" x14ac:dyDescent="0.25">
      <c r="A409" t="s">
        <v>1029</v>
      </c>
      <c r="B409" s="44">
        <v>2281.0909999999999</v>
      </c>
      <c r="C409">
        <v>-10</v>
      </c>
    </row>
    <row r="410" spans="1:3" x14ac:dyDescent="0.25">
      <c r="A410" t="s">
        <v>1030</v>
      </c>
      <c r="B410" s="44">
        <v>2087</v>
      </c>
      <c r="C410">
        <v>-8</v>
      </c>
    </row>
    <row r="411" spans="1:3" x14ac:dyDescent="0.25">
      <c r="A411" t="s">
        <v>1031</v>
      </c>
      <c r="B411" s="44">
        <v>2281.0909999999999</v>
      </c>
      <c r="C411">
        <v>-10</v>
      </c>
    </row>
    <row r="412" spans="1:3" x14ac:dyDescent="0.25">
      <c r="A412" t="s">
        <v>1032</v>
      </c>
      <c r="B412" s="44">
        <v>2790.319</v>
      </c>
      <c r="C412">
        <v>-11</v>
      </c>
    </row>
    <row r="413" spans="1:3" x14ac:dyDescent="0.25">
      <c r="A413" t="s">
        <v>1033</v>
      </c>
      <c r="B413" s="44">
        <v>2185.0889999999999</v>
      </c>
      <c r="C413">
        <v>-9</v>
      </c>
    </row>
    <row r="414" spans="1:3" x14ac:dyDescent="0.25">
      <c r="A414" t="s">
        <v>1034</v>
      </c>
      <c r="B414" s="44">
        <v>2548.2270000000003</v>
      </c>
      <c r="C414">
        <v>-11</v>
      </c>
    </row>
    <row r="415" spans="1:3" x14ac:dyDescent="0.25">
      <c r="A415" t="s">
        <v>1035</v>
      </c>
      <c r="B415" s="44">
        <v>2548.2270000000003</v>
      </c>
      <c r="C415">
        <v>-10</v>
      </c>
    </row>
    <row r="416" spans="1:3" x14ac:dyDescent="0.25">
      <c r="A416" t="s">
        <v>1036</v>
      </c>
      <c r="B416" s="44">
        <v>2548.2270000000003</v>
      </c>
      <c r="C416">
        <v>-10</v>
      </c>
    </row>
    <row r="417" spans="1:3" x14ac:dyDescent="0.25">
      <c r="A417" t="s">
        <v>1037</v>
      </c>
      <c r="B417" s="44">
        <v>2185.0889999999999</v>
      </c>
      <c r="C417">
        <v>-9</v>
      </c>
    </row>
    <row r="418" spans="1:3" x14ac:dyDescent="0.25">
      <c r="A418" t="s">
        <v>1038</v>
      </c>
      <c r="B418" s="44">
        <v>2087</v>
      </c>
      <c r="C418">
        <v>-8</v>
      </c>
    </row>
    <row r="419" spans="1:3" x14ac:dyDescent="0.25">
      <c r="A419" t="s">
        <v>1039</v>
      </c>
      <c r="B419" s="44">
        <v>2087</v>
      </c>
      <c r="C419">
        <v>-8</v>
      </c>
    </row>
    <row r="420" spans="1:3" x14ac:dyDescent="0.25">
      <c r="A420" t="s">
        <v>1040</v>
      </c>
      <c r="B420" s="44">
        <v>2185.0889999999999</v>
      </c>
      <c r="C420">
        <v>-9</v>
      </c>
    </row>
    <row r="421" spans="1:3" x14ac:dyDescent="0.25">
      <c r="A421" t="s">
        <v>1041</v>
      </c>
      <c r="B421" s="44">
        <v>2185.0889999999999</v>
      </c>
      <c r="C421">
        <v>-9</v>
      </c>
    </row>
    <row r="422" spans="1:3" x14ac:dyDescent="0.25">
      <c r="A422" t="s">
        <v>1042</v>
      </c>
      <c r="B422" s="44">
        <v>2281.0909999999999</v>
      </c>
      <c r="C422">
        <v>-9</v>
      </c>
    </row>
    <row r="423" spans="1:3" x14ac:dyDescent="0.25">
      <c r="A423" t="s">
        <v>1043</v>
      </c>
      <c r="B423" s="44">
        <v>2548.2270000000003</v>
      </c>
      <c r="C423">
        <v>-10</v>
      </c>
    </row>
    <row r="424" spans="1:3" x14ac:dyDescent="0.25">
      <c r="A424" t="s">
        <v>1044</v>
      </c>
      <c r="B424" s="44">
        <v>2185.0889999999999</v>
      </c>
      <c r="C424">
        <v>-9</v>
      </c>
    </row>
    <row r="425" spans="1:3" x14ac:dyDescent="0.25">
      <c r="A425" t="s">
        <v>1045</v>
      </c>
      <c r="B425" s="44">
        <v>2185.0889999999999</v>
      </c>
      <c r="C425">
        <v>-9</v>
      </c>
    </row>
    <row r="426" spans="1:3" x14ac:dyDescent="0.25">
      <c r="A426" t="s">
        <v>1046</v>
      </c>
      <c r="B426" s="44">
        <v>2281.0909999999999</v>
      </c>
      <c r="C426">
        <v>-9</v>
      </c>
    </row>
    <row r="427" spans="1:3" x14ac:dyDescent="0.25">
      <c r="A427" t="s">
        <v>1047</v>
      </c>
      <c r="B427" s="44">
        <v>2281.0909999999999</v>
      </c>
      <c r="C427">
        <v>-9</v>
      </c>
    </row>
    <row r="428" spans="1:3" x14ac:dyDescent="0.25">
      <c r="A428" t="s">
        <v>1048</v>
      </c>
      <c r="B428" s="44">
        <v>2281.0909999999999</v>
      </c>
      <c r="C428">
        <v>-9</v>
      </c>
    </row>
    <row r="429" spans="1:3" x14ac:dyDescent="0.25">
      <c r="A429" t="s">
        <v>1049</v>
      </c>
      <c r="B429" s="44">
        <v>2379.1800000000003</v>
      </c>
      <c r="C429">
        <v>-10</v>
      </c>
    </row>
    <row r="430" spans="1:3" x14ac:dyDescent="0.25">
      <c r="A430" t="s">
        <v>1050</v>
      </c>
      <c r="B430" s="44">
        <v>2281.0909999999999</v>
      </c>
      <c r="C430">
        <v>-9</v>
      </c>
    </row>
    <row r="431" spans="1:3" x14ac:dyDescent="0.25">
      <c r="A431" t="s">
        <v>1051</v>
      </c>
      <c r="B431" s="44">
        <v>2087</v>
      </c>
      <c r="C431">
        <v>-8</v>
      </c>
    </row>
    <row r="432" spans="1:3" x14ac:dyDescent="0.25">
      <c r="A432" t="s">
        <v>1052</v>
      </c>
      <c r="B432" s="44">
        <v>2087</v>
      </c>
      <c r="C432">
        <v>-8</v>
      </c>
    </row>
    <row r="433" spans="1:3" x14ac:dyDescent="0.25">
      <c r="A433" t="s">
        <v>1053</v>
      </c>
      <c r="B433" s="44">
        <v>2281.0909999999999</v>
      </c>
      <c r="C433">
        <v>-9</v>
      </c>
    </row>
    <row r="434" spans="1:3" x14ac:dyDescent="0.25">
      <c r="A434" t="s">
        <v>1054</v>
      </c>
      <c r="B434" s="44">
        <v>2548.2270000000003</v>
      </c>
      <c r="C434">
        <v>-11</v>
      </c>
    </row>
    <row r="435" spans="1:3" x14ac:dyDescent="0.25">
      <c r="A435" t="s">
        <v>1055</v>
      </c>
      <c r="B435" s="44">
        <v>2281.0909999999999</v>
      </c>
      <c r="C435">
        <v>-9</v>
      </c>
    </row>
    <row r="436" spans="1:3" x14ac:dyDescent="0.25">
      <c r="A436" t="s">
        <v>1056</v>
      </c>
      <c r="B436" s="44">
        <v>2087</v>
      </c>
      <c r="C436">
        <v>-8</v>
      </c>
    </row>
    <row r="437" spans="1:3" x14ac:dyDescent="0.25">
      <c r="A437" t="s">
        <v>1057</v>
      </c>
      <c r="B437" s="44">
        <v>2379.1800000000003</v>
      </c>
      <c r="C437">
        <v>-10</v>
      </c>
    </row>
    <row r="438" spans="1:3" x14ac:dyDescent="0.25">
      <c r="A438" t="s">
        <v>1058</v>
      </c>
      <c r="B438" s="44">
        <v>2379.1800000000003</v>
      </c>
      <c r="C438">
        <v>-10</v>
      </c>
    </row>
    <row r="439" spans="1:3" x14ac:dyDescent="0.25">
      <c r="A439" t="s">
        <v>1059</v>
      </c>
      <c r="B439" s="44">
        <v>2087</v>
      </c>
      <c r="C439">
        <v>-8</v>
      </c>
    </row>
    <row r="440" spans="1:3" x14ac:dyDescent="0.25">
      <c r="A440" t="s">
        <v>1060</v>
      </c>
      <c r="B440" s="44">
        <v>2281.0909999999999</v>
      </c>
      <c r="C440">
        <v>-10</v>
      </c>
    </row>
    <row r="441" spans="1:3" x14ac:dyDescent="0.25">
      <c r="A441" t="s">
        <v>1061</v>
      </c>
      <c r="B441" s="44">
        <v>2790.319</v>
      </c>
      <c r="C441">
        <v>-10</v>
      </c>
    </row>
    <row r="442" spans="1:3" x14ac:dyDescent="0.25">
      <c r="A442" t="s">
        <v>1062</v>
      </c>
      <c r="B442" s="44">
        <v>2281.0909999999999</v>
      </c>
      <c r="C442">
        <v>-9</v>
      </c>
    </row>
    <row r="443" spans="1:3" x14ac:dyDescent="0.25">
      <c r="A443" t="s">
        <v>1063</v>
      </c>
      <c r="B443" s="44">
        <v>2379.1800000000003</v>
      </c>
      <c r="C443">
        <v>-10</v>
      </c>
    </row>
    <row r="444" spans="1:3" x14ac:dyDescent="0.25">
      <c r="A444" t="s">
        <v>1064</v>
      </c>
      <c r="B444" s="44">
        <v>2379.1800000000003</v>
      </c>
      <c r="C444">
        <v>-10</v>
      </c>
    </row>
    <row r="445" spans="1:3" x14ac:dyDescent="0.25">
      <c r="A445" t="s">
        <v>1065</v>
      </c>
      <c r="B445" s="44">
        <v>2185.0889999999999</v>
      </c>
      <c r="C445">
        <v>-9</v>
      </c>
    </row>
    <row r="446" spans="1:3" x14ac:dyDescent="0.25">
      <c r="A446" t="s">
        <v>1066</v>
      </c>
      <c r="B446" s="44">
        <v>2185.0889999999999</v>
      </c>
      <c r="C446">
        <v>-8</v>
      </c>
    </row>
    <row r="447" spans="1:3" x14ac:dyDescent="0.25">
      <c r="A447" t="s">
        <v>1067</v>
      </c>
      <c r="B447" s="44">
        <v>2087</v>
      </c>
      <c r="C447">
        <v>-8</v>
      </c>
    </row>
    <row r="448" spans="1:3" x14ac:dyDescent="0.25">
      <c r="A448" t="s">
        <v>1068</v>
      </c>
      <c r="B448" s="44">
        <v>2281.0909999999999</v>
      </c>
      <c r="C448">
        <v>-10</v>
      </c>
    </row>
    <row r="449" spans="1:3" x14ac:dyDescent="0.25">
      <c r="A449" t="s">
        <v>1069</v>
      </c>
      <c r="B449" s="44">
        <v>2281.0909999999999</v>
      </c>
      <c r="C449">
        <v>-9</v>
      </c>
    </row>
    <row r="450" spans="1:3" x14ac:dyDescent="0.25">
      <c r="A450" t="s">
        <v>1070</v>
      </c>
      <c r="B450" s="44">
        <v>2281.0909999999999</v>
      </c>
      <c r="C450">
        <v>-10</v>
      </c>
    </row>
    <row r="451" spans="1:3" x14ac:dyDescent="0.25">
      <c r="A451" t="s">
        <v>1070</v>
      </c>
      <c r="B451" s="44">
        <v>2281.0909999999999</v>
      </c>
      <c r="C451">
        <v>-9</v>
      </c>
    </row>
    <row r="452" spans="1:3" x14ac:dyDescent="0.25">
      <c r="A452" t="s">
        <v>1071</v>
      </c>
      <c r="B452" s="44">
        <v>2185.0889999999999</v>
      </c>
      <c r="C452">
        <v>-9</v>
      </c>
    </row>
    <row r="453" spans="1:3" x14ac:dyDescent="0.25">
      <c r="A453" t="s">
        <v>1072</v>
      </c>
      <c r="B453" s="44">
        <v>2185.0889999999999</v>
      </c>
      <c r="C453">
        <v>-8</v>
      </c>
    </row>
    <row r="454" spans="1:3" x14ac:dyDescent="0.25">
      <c r="A454" t="s">
        <v>1073</v>
      </c>
      <c r="B454" s="44">
        <v>2281.0909999999999</v>
      </c>
      <c r="C454">
        <v>-9</v>
      </c>
    </row>
    <row r="455" spans="1:3" x14ac:dyDescent="0.25">
      <c r="A455" t="s">
        <v>1074</v>
      </c>
      <c r="B455" s="44">
        <v>2379.1800000000003</v>
      </c>
      <c r="C455">
        <v>-10</v>
      </c>
    </row>
    <row r="456" spans="1:3" x14ac:dyDescent="0.25">
      <c r="A456" t="s">
        <v>1075</v>
      </c>
      <c r="B456" s="44">
        <v>1988.9109999999998</v>
      </c>
      <c r="C456">
        <v>-8</v>
      </c>
    </row>
    <row r="457" spans="1:3" x14ac:dyDescent="0.25">
      <c r="A457" t="s">
        <v>1076</v>
      </c>
      <c r="B457" s="44">
        <v>2379.1800000000003</v>
      </c>
      <c r="C457">
        <v>-10</v>
      </c>
    </row>
    <row r="458" spans="1:3" x14ac:dyDescent="0.25">
      <c r="A458" t="s">
        <v>1077</v>
      </c>
      <c r="B458" s="44">
        <v>2087</v>
      </c>
      <c r="C458">
        <v>-8</v>
      </c>
    </row>
    <row r="459" spans="1:3" x14ac:dyDescent="0.25">
      <c r="A459" t="s">
        <v>1078</v>
      </c>
      <c r="B459" s="44">
        <v>2790.319</v>
      </c>
      <c r="C459">
        <v>-10</v>
      </c>
    </row>
    <row r="460" spans="1:3" x14ac:dyDescent="0.25">
      <c r="A460" t="s">
        <v>1079</v>
      </c>
      <c r="B460" s="44">
        <v>2087</v>
      </c>
      <c r="C460">
        <v>-8</v>
      </c>
    </row>
    <row r="461" spans="1:3" x14ac:dyDescent="0.25">
      <c r="A461" t="s">
        <v>1080</v>
      </c>
      <c r="B461" s="44">
        <v>2281.0909999999999</v>
      </c>
      <c r="C461">
        <v>-10</v>
      </c>
    </row>
    <row r="462" spans="1:3" x14ac:dyDescent="0.25">
      <c r="A462" t="s">
        <v>1081</v>
      </c>
      <c r="B462" s="44">
        <v>2379.1800000000003</v>
      </c>
      <c r="C462">
        <v>-10</v>
      </c>
    </row>
    <row r="463" spans="1:3" x14ac:dyDescent="0.25">
      <c r="A463" t="s">
        <v>1082</v>
      </c>
      <c r="B463" s="44">
        <v>2790.319</v>
      </c>
      <c r="C463">
        <v>-11</v>
      </c>
    </row>
    <row r="464" spans="1:3" x14ac:dyDescent="0.25">
      <c r="A464" t="s">
        <v>1083</v>
      </c>
      <c r="B464" s="44">
        <v>2087</v>
      </c>
      <c r="C464">
        <v>-9</v>
      </c>
    </row>
    <row r="465" spans="1:3" x14ac:dyDescent="0.25">
      <c r="A465" t="s">
        <v>1084</v>
      </c>
      <c r="B465" s="44">
        <v>2185.0889999999999</v>
      </c>
      <c r="C465">
        <v>-9</v>
      </c>
    </row>
    <row r="466" spans="1:3" x14ac:dyDescent="0.25">
      <c r="A466" t="s">
        <v>1085</v>
      </c>
      <c r="B466" s="44">
        <v>2185.0889999999999</v>
      </c>
      <c r="C466">
        <v>-9</v>
      </c>
    </row>
    <row r="467" spans="1:3" x14ac:dyDescent="0.25">
      <c r="A467" t="s">
        <v>1086</v>
      </c>
      <c r="B467" s="44">
        <v>2185.0889999999999</v>
      </c>
      <c r="C467">
        <v>-9</v>
      </c>
    </row>
    <row r="468" spans="1:3" x14ac:dyDescent="0.25">
      <c r="A468" t="s">
        <v>1087</v>
      </c>
      <c r="B468" s="44">
        <v>2185.0889999999999</v>
      </c>
      <c r="C468">
        <v>-9</v>
      </c>
    </row>
    <row r="469" spans="1:3" x14ac:dyDescent="0.25">
      <c r="A469" t="s">
        <v>1088</v>
      </c>
      <c r="B469" s="44">
        <v>2185.0889999999999</v>
      </c>
      <c r="C469">
        <v>-9</v>
      </c>
    </row>
    <row r="470" spans="1:3" x14ac:dyDescent="0.25">
      <c r="A470" t="s">
        <v>1089</v>
      </c>
      <c r="B470" s="44">
        <v>2281.0909999999999</v>
      </c>
      <c r="C470">
        <v>-9</v>
      </c>
    </row>
    <row r="471" spans="1:3" x14ac:dyDescent="0.25">
      <c r="A471" t="s">
        <v>1090</v>
      </c>
      <c r="B471" s="44">
        <v>2185.0889999999999</v>
      </c>
      <c r="C471">
        <v>-9</v>
      </c>
    </row>
    <row r="472" spans="1:3" x14ac:dyDescent="0.25">
      <c r="A472" t="s">
        <v>1091</v>
      </c>
      <c r="B472" s="44">
        <v>2281.0909999999999</v>
      </c>
      <c r="C472">
        <v>-10</v>
      </c>
    </row>
    <row r="473" spans="1:3" x14ac:dyDescent="0.25">
      <c r="A473" t="s">
        <v>1092</v>
      </c>
      <c r="B473" s="44">
        <v>2087</v>
      </c>
      <c r="C473">
        <v>-8</v>
      </c>
    </row>
    <row r="474" spans="1:3" x14ac:dyDescent="0.25">
      <c r="A474" t="s">
        <v>1093</v>
      </c>
      <c r="B474" s="44">
        <v>2281.0909999999999</v>
      </c>
      <c r="C474">
        <v>-9</v>
      </c>
    </row>
    <row r="475" spans="1:3" x14ac:dyDescent="0.25">
      <c r="A475" t="s">
        <v>1094</v>
      </c>
      <c r="B475" s="44">
        <v>2281.0909999999999</v>
      </c>
      <c r="C475">
        <v>-9</v>
      </c>
    </row>
    <row r="476" spans="1:3" x14ac:dyDescent="0.25">
      <c r="A476" t="s">
        <v>1095</v>
      </c>
      <c r="B476" s="44">
        <v>2087</v>
      </c>
      <c r="C476">
        <v>-8</v>
      </c>
    </row>
    <row r="477" spans="1:3" x14ac:dyDescent="0.25">
      <c r="A477" t="s">
        <v>1096</v>
      </c>
      <c r="B477" s="44">
        <v>2379.1800000000003</v>
      </c>
      <c r="C477">
        <v>-10</v>
      </c>
    </row>
    <row r="478" spans="1:3" x14ac:dyDescent="0.25">
      <c r="A478" t="s">
        <v>1097</v>
      </c>
      <c r="B478" s="44">
        <v>2087</v>
      </c>
      <c r="C478">
        <v>-9</v>
      </c>
    </row>
    <row r="479" spans="1:3" x14ac:dyDescent="0.25">
      <c r="A479" t="s">
        <v>1098</v>
      </c>
      <c r="B479" s="44">
        <v>2185.0889999999999</v>
      </c>
      <c r="C479">
        <v>-9</v>
      </c>
    </row>
    <row r="480" spans="1:3" x14ac:dyDescent="0.25">
      <c r="A480" t="s">
        <v>1099</v>
      </c>
      <c r="B480" s="44">
        <v>2185.0889999999999</v>
      </c>
      <c r="C480">
        <v>-8</v>
      </c>
    </row>
    <row r="481" spans="1:3" x14ac:dyDescent="0.25">
      <c r="A481" t="s">
        <v>1100</v>
      </c>
      <c r="B481" s="44">
        <v>2185.0889999999999</v>
      </c>
      <c r="C481">
        <v>-9</v>
      </c>
    </row>
    <row r="482" spans="1:3" x14ac:dyDescent="0.25">
      <c r="A482" t="s">
        <v>1101</v>
      </c>
      <c r="B482" s="44">
        <v>2790.319</v>
      </c>
      <c r="C482">
        <v>-11</v>
      </c>
    </row>
    <row r="483" spans="1:3" x14ac:dyDescent="0.25">
      <c r="A483" t="s">
        <v>1102</v>
      </c>
      <c r="B483" s="44">
        <v>2281.0909999999999</v>
      </c>
      <c r="C483">
        <v>-10</v>
      </c>
    </row>
    <row r="484" spans="1:3" x14ac:dyDescent="0.25">
      <c r="A484" t="s">
        <v>1103</v>
      </c>
      <c r="B484" s="44">
        <v>2185.0889999999999</v>
      </c>
      <c r="C484">
        <v>-8</v>
      </c>
    </row>
    <row r="485" spans="1:3" x14ac:dyDescent="0.25">
      <c r="A485" t="s">
        <v>1104</v>
      </c>
      <c r="B485" s="44">
        <v>2790.319</v>
      </c>
      <c r="C485">
        <v>-11</v>
      </c>
    </row>
    <row r="486" spans="1:3" x14ac:dyDescent="0.25">
      <c r="A486" t="s">
        <v>1105</v>
      </c>
      <c r="B486" s="44">
        <v>2379.1800000000003</v>
      </c>
      <c r="C486">
        <v>-11</v>
      </c>
    </row>
    <row r="487" spans="1:3" x14ac:dyDescent="0.25">
      <c r="A487" t="s">
        <v>1106</v>
      </c>
      <c r="B487" s="44">
        <v>2379.1800000000003</v>
      </c>
      <c r="C487">
        <v>-10</v>
      </c>
    </row>
    <row r="488" spans="1:3" x14ac:dyDescent="0.25">
      <c r="A488" t="s">
        <v>1107</v>
      </c>
      <c r="B488" s="44">
        <v>1988.9109999999998</v>
      </c>
      <c r="C488">
        <v>-8</v>
      </c>
    </row>
    <row r="489" spans="1:3" x14ac:dyDescent="0.25">
      <c r="A489" t="s">
        <v>1108</v>
      </c>
      <c r="B489" s="44">
        <v>2379.1800000000003</v>
      </c>
      <c r="C489">
        <v>-10</v>
      </c>
    </row>
    <row r="490" spans="1:3" x14ac:dyDescent="0.25">
      <c r="A490" t="s">
        <v>1109</v>
      </c>
      <c r="B490" s="44">
        <v>1988.9109999999998</v>
      </c>
      <c r="C490">
        <v>-8</v>
      </c>
    </row>
    <row r="491" spans="1:3" x14ac:dyDescent="0.25">
      <c r="A491" t="s">
        <v>1110</v>
      </c>
      <c r="B491" s="44">
        <v>2281.0909999999999</v>
      </c>
      <c r="C491">
        <v>-9</v>
      </c>
    </row>
    <row r="492" spans="1:3" x14ac:dyDescent="0.25">
      <c r="A492" t="s">
        <v>1111</v>
      </c>
      <c r="B492" s="44">
        <v>1988.9109999999998</v>
      </c>
      <c r="C492">
        <v>-8</v>
      </c>
    </row>
    <row r="493" spans="1:3" x14ac:dyDescent="0.25">
      <c r="A493" t="s">
        <v>1112</v>
      </c>
      <c r="B493" s="44">
        <v>2379.1800000000003</v>
      </c>
      <c r="C493">
        <v>-10</v>
      </c>
    </row>
    <row r="494" spans="1:3" x14ac:dyDescent="0.25">
      <c r="A494" t="s">
        <v>1113</v>
      </c>
      <c r="B494" s="44">
        <v>2185.0889999999999</v>
      </c>
      <c r="C494">
        <v>-9</v>
      </c>
    </row>
    <row r="495" spans="1:3" x14ac:dyDescent="0.25">
      <c r="A495" t="s">
        <v>1114</v>
      </c>
      <c r="B495" s="44">
        <v>2185.0889999999999</v>
      </c>
      <c r="C495">
        <v>-9</v>
      </c>
    </row>
    <row r="496" spans="1:3" x14ac:dyDescent="0.25">
      <c r="A496" t="s">
        <v>1115</v>
      </c>
      <c r="B496" s="44">
        <v>2281.0909999999999</v>
      </c>
      <c r="C496">
        <v>-9</v>
      </c>
    </row>
    <row r="497" spans="1:3" x14ac:dyDescent="0.25">
      <c r="A497" t="s">
        <v>1116</v>
      </c>
      <c r="B497" s="44">
        <v>2185.0889999999999</v>
      </c>
      <c r="C497">
        <v>-9</v>
      </c>
    </row>
    <row r="498" spans="1:3" x14ac:dyDescent="0.25">
      <c r="A498" t="s">
        <v>1117</v>
      </c>
      <c r="B498" s="44">
        <v>2281.0909999999999</v>
      </c>
      <c r="C498">
        <v>-9</v>
      </c>
    </row>
    <row r="499" spans="1:3" x14ac:dyDescent="0.25">
      <c r="A499" t="s">
        <v>1118</v>
      </c>
      <c r="B499" s="44">
        <v>2548.2270000000003</v>
      </c>
      <c r="C499">
        <v>-10</v>
      </c>
    </row>
    <row r="500" spans="1:3" x14ac:dyDescent="0.25">
      <c r="A500" t="s">
        <v>1119</v>
      </c>
      <c r="B500" s="44">
        <v>1892.9090000000001</v>
      </c>
      <c r="C500">
        <v>-7</v>
      </c>
    </row>
    <row r="501" spans="1:3" x14ac:dyDescent="0.25">
      <c r="A501" t="s">
        <v>1120</v>
      </c>
      <c r="B501" s="44">
        <v>1892.9090000000001</v>
      </c>
      <c r="C501">
        <v>-7</v>
      </c>
    </row>
    <row r="502" spans="1:3" x14ac:dyDescent="0.25">
      <c r="A502" t="s">
        <v>1121</v>
      </c>
      <c r="B502" s="44">
        <v>1988.9109999999998</v>
      </c>
      <c r="C502">
        <v>-8</v>
      </c>
    </row>
    <row r="503" spans="1:3" x14ac:dyDescent="0.25">
      <c r="A503" t="s">
        <v>1122</v>
      </c>
      <c r="B503" s="44">
        <v>1892.9090000000001</v>
      </c>
      <c r="C503">
        <v>-8</v>
      </c>
    </row>
    <row r="504" spans="1:3" x14ac:dyDescent="0.25">
      <c r="A504" t="s">
        <v>1123</v>
      </c>
      <c r="B504" s="44">
        <v>1892.9090000000001</v>
      </c>
      <c r="C504">
        <v>-8</v>
      </c>
    </row>
    <row r="505" spans="1:3" x14ac:dyDescent="0.25">
      <c r="A505" t="s">
        <v>1124</v>
      </c>
      <c r="B505" s="44">
        <v>1988.9109999999998</v>
      </c>
      <c r="C505">
        <v>-8</v>
      </c>
    </row>
    <row r="506" spans="1:3" x14ac:dyDescent="0.25">
      <c r="A506" t="s">
        <v>1125</v>
      </c>
      <c r="B506" s="44">
        <v>2087</v>
      </c>
      <c r="C506">
        <v>-8</v>
      </c>
    </row>
    <row r="507" spans="1:3" x14ac:dyDescent="0.25">
      <c r="A507" t="s">
        <v>1126</v>
      </c>
      <c r="B507" s="44">
        <v>1988.9109999999998</v>
      </c>
      <c r="C507">
        <v>-8</v>
      </c>
    </row>
    <row r="508" spans="1:3" x14ac:dyDescent="0.25">
      <c r="A508" t="s">
        <v>1127</v>
      </c>
      <c r="B508" s="44">
        <v>1988.9109999999998</v>
      </c>
      <c r="C508">
        <v>-8</v>
      </c>
    </row>
    <row r="509" spans="1:3" x14ac:dyDescent="0.25">
      <c r="A509" t="s">
        <v>1128</v>
      </c>
      <c r="B509" s="44">
        <v>2087</v>
      </c>
      <c r="C509">
        <v>-8</v>
      </c>
    </row>
    <row r="510" spans="1:3" x14ac:dyDescent="0.25">
      <c r="A510" t="s">
        <v>1129</v>
      </c>
      <c r="B510" s="44">
        <v>2087</v>
      </c>
      <c r="C510">
        <v>-8</v>
      </c>
    </row>
    <row r="511" spans="1:3" x14ac:dyDescent="0.25">
      <c r="A511" t="s">
        <v>1130</v>
      </c>
      <c r="B511" s="44">
        <v>1988.9109999999998</v>
      </c>
      <c r="C511">
        <v>-8</v>
      </c>
    </row>
    <row r="512" spans="1:3" x14ac:dyDescent="0.25">
      <c r="A512" t="s">
        <v>1131</v>
      </c>
      <c r="B512" s="44">
        <v>2087</v>
      </c>
      <c r="C512">
        <v>-8</v>
      </c>
    </row>
    <row r="513" spans="1:3" x14ac:dyDescent="0.25">
      <c r="A513" t="s">
        <v>1132</v>
      </c>
      <c r="B513" s="44">
        <v>2281.0909999999999</v>
      </c>
      <c r="C513">
        <v>-10</v>
      </c>
    </row>
    <row r="514" spans="1:3" x14ac:dyDescent="0.25">
      <c r="A514" t="s">
        <v>1133</v>
      </c>
      <c r="B514" s="44">
        <v>1988.9109999999998</v>
      </c>
      <c r="C514">
        <v>-8</v>
      </c>
    </row>
    <row r="515" spans="1:3" x14ac:dyDescent="0.25">
      <c r="A515" t="s">
        <v>1134</v>
      </c>
      <c r="B515" s="44">
        <v>2087</v>
      </c>
      <c r="C515">
        <v>-8</v>
      </c>
    </row>
    <row r="516" spans="1:3" x14ac:dyDescent="0.25">
      <c r="A516" t="s">
        <v>1135</v>
      </c>
      <c r="B516" s="44">
        <v>2185.0889999999999</v>
      </c>
      <c r="C516">
        <v>-9</v>
      </c>
    </row>
    <row r="517" spans="1:3" x14ac:dyDescent="0.25">
      <c r="A517" t="s">
        <v>1136</v>
      </c>
      <c r="B517" s="44">
        <v>1988.9109999999998</v>
      </c>
      <c r="C517">
        <v>-8</v>
      </c>
    </row>
    <row r="518" spans="1:3" x14ac:dyDescent="0.25">
      <c r="A518" t="s">
        <v>1137</v>
      </c>
      <c r="B518" s="44">
        <v>1988.9109999999998</v>
      </c>
      <c r="C518">
        <v>-8</v>
      </c>
    </row>
    <row r="519" spans="1:3" x14ac:dyDescent="0.25">
      <c r="A519" t="s">
        <v>1138</v>
      </c>
      <c r="B519" s="44">
        <v>1988.9109999999998</v>
      </c>
      <c r="C519">
        <v>-8</v>
      </c>
    </row>
    <row r="520" spans="1:3" x14ac:dyDescent="0.25">
      <c r="A520" t="s">
        <v>1139</v>
      </c>
      <c r="B520" s="44">
        <v>1988.9109999999998</v>
      </c>
      <c r="C520">
        <v>-8</v>
      </c>
    </row>
    <row r="521" spans="1:3" x14ac:dyDescent="0.25">
      <c r="A521" t="s">
        <v>1140</v>
      </c>
      <c r="B521" s="44">
        <v>1988.9109999999998</v>
      </c>
      <c r="C521">
        <v>-9</v>
      </c>
    </row>
    <row r="522" spans="1:3" x14ac:dyDescent="0.25">
      <c r="A522" t="s">
        <v>1140</v>
      </c>
      <c r="B522" s="44">
        <v>2087</v>
      </c>
      <c r="C522">
        <v>-9</v>
      </c>
    </row>
    <row r="523" spans="1:3" x14ac:dyDescent="0.25">
      <c r="A523" t="s">
        <v>1141</v>
      </c>
      <c r="B523" s="44">
        <v>2087</v>
      </c>
      <c r="C523">
        <v>-8</v>
      </c>
    </row>
    <row r="524" spans="1:3" x14ac:dyDescent="0.25">
      <c r="A524" t="s">
        <v>1142</v>
      </c>
      <c r="B524" s="44">
        <v>2185.0889999999999</v>
      </c>
      <c r="C524">
        <v>-9</v>
      </c>
    </row>
    <row r="525" spans="1:3" x14ac:dyDescent="0.25">
      <c r="A525" t="s">
        <v>1143</v>
      </c>
      <c r="B525" s="44">
        <v>2087</v>
      </c>
      <c r="C525">
        <v>-8</v>
      </c>
    </row>
    <row r="526" spans="1:3" x14ac:dyDescent="0.25">
      <c r="A526" t="s">
        <v>1144</v>
      </c>
      <c r="B526" s="44">
        <v>2087</v>
      </c>
      <c r="C526">
        <v>-8</v>
      </c>
    </row>
    <row r="527" spans="1:3" x14ac:dyDescent="0.25">
      <c r="A527" t="s">
        <v>1145</v>
      </c>
      <c r="B527" s="44">
        <v>2087</v>
      </c>
      <c r="C527">
        <v>-9</v>
      </c>
    </row>
    <row r="528" spans="1:3" x14ac:dyDescent="0.25">
      <c r="A528" t="s">
        <v>1146</v>
      </c>
      <c r="B528" s="44">
        <v>2185.0889999999999</v>
      </c>
      <c r="C528">
        <v>-8</v>
      </c>
    </row>
    <row r="529" spans="1:3" x14ac:dyDescent="0.25">
      <c r="A529" t="s">
        <v>1147</v>
      </c>
      <c r="B529" s="44">
        <v>1988.9109999999998</v>
      </c>
      <c r="C529">
        <v>-8</v>
      </c>
    </row>
    <row r="530" spans="1:3" x14ac:dyDescent="0.25">
      <c r="A530" t="s">
        <v>1148</v>
      </c>
      <c r="B530" s="44">
        <v>2087</v>
      </c>
      <c r="C530">
        <v>-8</v>
      </c>
    </row>
    <row r="531" spans="1:3" x14ac:dyDescent="0.25">
      <c r="A531" t="s">
        <v>1149</v>
      </c>
      <c r="B531" s="44">
        <v>1988.9109999999998</v>
      </c>
      <c r="C531">
        <v>-8</v>
      </c>
    </row>
    <row r="532" spans="1:3" x14ac:dyDescent="0.25">
      <c r="A532" t="s">
        <v>1150</v>
      </c>
      <c r="B532" s="44">
        <v>1988.9109999999998</v>
      </c>
      <c r="C532">
        <v>-8</v>
      </c>
    </row>
    <row r="533" spans="1:3" x14ac:dyDescent="0.25">
      <c r="A533" t="s">
        <v>1151</v>
      </c>
      <c r="B533" s="44">
        <v>2087</v>
      </c>
      <c r="C533">
        <v>-8</v>
      </c>
    </row>
    <row r="534" spans="1:3" x14ac:dyDescent="0.25">
      <c r="A534" t="s">
        <v>1152</v>
      </c>
      <c r="B534" s="44">
        <v>2185.0889999999999</v>
      </c>
      <c r="C534">
        <v>-9</v>
      </c>
    </row>
    <row r="535" spans="1:3" x14ac:dyDescent="0.25">
      <c r="A535" t="s">
        <v>1153</v>
      </c>
      <c r="B535" s="44">
        <v>2281.0909999999999</v>
      </c>
      <c r="C535">
        <v>-10</v>
      </c>
    </row>
    <row r="536" spans="1:3" x14ac:dyDescent="0.25">
      <c r="A536" t="s">
        <v>1154</v>
      </c>
      <c r="B536" s="44">
        <v>2087</v>
      </c>
      <c r="C536">
        <v>-8</v>
      </c>
    </row>
    <row r="537" spans="1:3" x14ac:dyDescent="0.25">
      <c r="A537" t="s">
        <v>1155</v>
      </c>
      <c r="B537" s="44">
        <v>2379.1800000000003</v>
      </c>
      <c r="C537">
        <v>-10</v>
      </c>
    </row>
    <row r="538" spans="1:3" x14ac:dyDescent="0.25">
      <c r="A538" t="s">
        <v>1156</v>
      </c>
      <c r="B538" s="44">
        <v>2087</v>
      </c>
      <c r="C538">
        <v>-8</v>
      </c>
    </row>
    <row r="539" spans="1:3" x14ac:dyDescent="0.25">
      <c r="A539" t="s">
        <v>1157</v>
      </c>
      <c r="B539" s="44">
        <v>2087</v>
      </c>
      <c r="C539">
        <v>-8</v>
      </c>
    </row>
    <row r="540" spans="1:3" x14ac:dyDescent="0.25">
      <c r="A540" t="s">
        <v>1158</v>
      </c>
      <c r="B540" s="44">
        <v>2379.1800000000003</v>
      </c>
      <c r="C540">
        <v>-10</v>
      </c>
    </row>
    <row r="541" spans="1:3" x14ac:dyDescent="0.25">
      <c r="A541" t="s">
        <v>1159</v>
      </c>
      <c r="B541" s="44">
        <v>2379.1800000000003</v>
      </c>
      <c r="C541">
        <v>-11</v>
      </c>
    </row>
    <row r="542" spans="1:3" x14ac:dyDescent="0.25">
      <c r="A542" t="s">
        <v>1160</v>
      </c>
      <c r="B542" s="44">
        <v>1988.9109999999998</v>
      </c>
      <c r="C542">
        <v>-8</v>
      </c>
    </row>
    <row r="543" spans="1:3" x14ac:dyDescent="0.25">
      <c r="A543" t="s">
        <v>1161</v>
      </c>
      <c r="B543" s="44">
        <v>2790.319</v>
      </c>
      <c r="C543">
        <v>-10</v>
      </c>
    </row>
    <row r="544" spans="1:3" x14ac:dyDescent="0.25">
      <c r="A544" t="s">
        <v>1162</v>
      </c>
      <c r="B544" s="44">
        <v>2379.1800000000003</v>
      </c>
      <c r="C544">
        <v>-10</v>
      </c>
    </row>
    <row r="545" spans="1:3" x14ac:dyDescent="0.25">
      <c r="A545" t="s">
        <v>1163</v>
      </c>
      <c r="B545" s="44">
        <v>2281.0909999999999</v>
      </c>
      <c r="C545">
        <v>-9</v>
      </c>
    </row>
    <row r="546" spans="1:3" x14ac:dyDescent="0.25">
      <c r="A546" t="s">
        <v>1164</v>
      </c>
      <c r="B546" s="44">
        <v>2185.0889999999999</v>
      </c>
      <c r="C546">
        <v>-9</v>
      </c>
    </row>
    <row r="547" spans="1:3" x14ac:dyDescent="0.25">
      <c r="A547" t="s">
        <v>1165</v>
      </c>
      <c r="B547" s="44">
        <v>2087</v>
      </c>
      <c r="C547">
        <v>-9</v>
      </c>
    </row>
    <row r="548" spans="1:3" x14ac:dyDescent="0.25">
      <c r="A548" t="s">
        <v>1166</v>
      </c>
      <c r="B548" s="44">
        <v>2087</v>
      </c>
      <c r="C548">
        <v>-9</v>
      </c>
    </row>
    <row r="549" spans="1:3" x14ac:dyDescent="0.25">
      <c r="A549" t="s">
        <v>1167</v>
      </c>
      <c r="B549" s="44">
        <v>2281.0909999999999</v>
      </c>
      <c r="C549">
        <v>-9</v>
      </c>
    </row>
    <row r="550" spans="1:3" x14ac:dyDescent="0.25">
      <c r="A550" t="s">
        <v>1168</v>
      </c>
      <c r="B550" s="44">
        <v>2281.0909999999999</v>
      </c>
      <c r="C550">
        <v>-10</v>
      </c>
    </row>
    <row r="551" spans="1:3" x14ac:dyDescent="0.25">
      <c r="A551" t="s">
        <v>1169</v>
      </c>
      <c r="B551" s="44">
        <v>2087</v>
      </c>
      <c r="C551">
        <v>-8</v>
      </c>
    </row>
    <row r="552" spans="1:3" x14ac:dyDescent="0.25">
      <c r="A552" t="s">
        <v>1170</v>
      </c>
      <c r="B552" s="44">
        <v>1988.9109999999998</v>
      </c>
      <c r="C552">
        <v>-8</v>
      </c>
    </row>
    <row r="553" spans="1:3" x14ac:dyDescent="0.25">
      <c r="A553" t="s">
        <v>1171</v>
      </c>
      <c r="B553" s="44">
        <v>2087</v>
      </c>
      <c r="C553">
        <v>-8</v>
      </c>
    </row>
    <row r="554" spans="1:3" x14ac:dyDescent="0.25">
      <c r="A554" t="s">
        <v>1172</v>
      </c>
      <c r="B554" s="44">
        <v>2379.1800000000003</v>
      </c>
      <c r="C554">
        <v>-10</v>
      </c>
    </row>
    <row r="555" spans="1:3" x14ac:dyDescent="0.25">
      <c r="A555" t="s">
        <v>1173</v>
      </c>
      <c r="B555" s="44">
        <v>1988.9109999999998</v>
      </c>
      <c r="C555">
        <v>-8</v>
      </c>
    </row>
    <row r="556" spans="1:3" x14ac:dyDescent="0.25">
      <c r="A556" t="s">
        <v>1174</v>
      </c>
      <c r="B556" s="44">
        <v>2379.1800000000003</v>
      </c>
      <c r="C556">
        <v>-10</v>
      </c>
    </row>
    <row r="557" spans="1:3" x14ac:dyDescent="0.25">
      <c r="A557" t="s">
        <v>1175</v>
      </c>
      <c r="B557" s="44">
        <v>1988.9109999999998</v>
      </c>
      <c r="C557">
        <v>-8</v>
      </c>
    </row>
    <row r="558" spans="1:3" x14ac:dyDescent="0.25">
      <c r="A558" t="s">
        <v>1176</v>
      </c>
      <c r="B558" s="44">
        <v>2087</v>
      </c>
      <c r="C558">
        <v>-8</v>
      </c>
    </row>
    <row r="559" spans="1:3" x14ac:dyDescent="0.25">
      <c r="A559" t="s">
        <v>1177</v>
      </c>
      <c r="B559" s="44">
        <v>2087</v>
      </c>
      <c r="C559">
        <v>-8</v>
      </c>
    </row>
    <row r="560" spans="1:3" x14ac:dyDescent="0.25">
      <c r="A560" t="s">
        <v>1178</v>
      </c>
      <c r="B560" s="44">
        <v>1988.9109999999998</v>
      </c>
      <c r="C560">
        <v>-8</v>
      </c>
    </row>
    <row r="561" spans="1:3" x14ac:dyDescent="0.25">
      <c r="A561" t="s">
        <v>1179</v>
      </c>
      <c r="B561" s="44">
        <v>1892.9090000000001</v>
      </c>
      <c r="C561">
        <v>-7</v>
      </c>
    </row>
    <row r="562" spans="1:3" x14ac:dyDescent="0.25">
      <c r="A562" t="s">
        <v>1180</v>
      </c>
      <c r="B562" s="44">
        <v>1988.9109999999998</v>
      </c>
      <c r="C562">
        <v>-8</v>
      </c>
    </row>
    <row r="563" spans="1:3" x14ac:dyDescent="0.25">
      <c r="A563" t="s">
        <v>1181</v>
      </c>
      <c r="B563" s="44">
        <v>2087</v>
      </c>
      <c r="C563">
        <v>-8</v>
      </c>
    </row>
    <row r="564" spans="1:3" x14ac:dyDescent="0.25">
      <c r="A564" t="s">
        <v>1182</v>
      </c>
      <c r="B564" s="44">
        <v>2087</v>
      </c>
      <c r="C564">
        <v>-8</v>
      </c>
    </row>
    <row r="565" spans="1:3" x14ac:dyDescent="0.25">
      <c r="A565" t="s">
        <v>1183</v>
      </c>
      <c r="B565" s="44">
        <v>2379.1800000000003</v>
      </c>
      <c r="C565">
        <v>-10</v>
      </c>
    </row>
    <row r="566" spans="1:3" x14ac:dyDescent="0.25">
      <c r="A566" t="s">
        <v>1184</v>
      </c>
      <c r="B566" s="44">
        <v>2281.0909999999999</v>
      </c>
      <c r="C566">
        <v>-10</v>
      </c>
    </row>
    <row r="567" spans="1:3" x14ac:dyDescent="0.25">
      <c r="A567" t="s">
        <v>1185</v>
      </c>
      <c r="B567" s="44">
        <v>2087</v>
      </c>
      <c r="C567">
        <v>-8</v>
      </c>
    </row>
    <row r="568" spans="1:3" x14ac:dyDescent="0.25">
      <c r="A568" t="s">
        <v>1186</v>
      </c>
      <c r="B568" s="44">
        <v>2185.0889999999999</v>
      </c>
      <c r="C568">
        <v>-8</v>
      </c>
    </row>
    <row r="569" spans="1:3" x14ac:dyDescent="0.25">
      <c r="A569" t="s">
        <v>1187</v>
      </c>
      <c r="B569" s="44">
        <v>2790.319</v>
      </c>
      <c r="C569">
        <v>-11</v>
      </c>
    </row>
    <row r="570" spans="1:3" x14ac:dyDescent="0.25">
      <c r="A570" t="s">
        <v>1188</v>
      </c>
      <c r="B570" s="44">
        <v>2087</v>
      </c>
      <c r="C570">
        <v>-8</v>
      </c>
    </row>
    <row r="571" spans="1:3" x14ac:dyDescent="0.25">
      <c r="A571" t="s">
        <v>1189</v>
      </c>
      <c r="B571" s="44">
        <v>2087</v>
      </c>
      <c r="C571">
        <v>-8</v>
      </c>
    </row>
    <row r="572" spans="1:3" x14ac:dyDescent="0.25">
      <c r="A572" t="s">
        <v>1190</v>
      </c>
      <c r="B572" s="44">
        <v>2087</v>
      </c>
      <c r="C572">
        <v>-8</v>
      </c>
    </row>
    <row r="573" spans="1:3" x14ac:dyDescent="0.25">
      <c r="A573" t="s">
        <v>1191</v>
      </c>
      <c r="B573" s="44">
        <v>1988.9109999999998</v>
      </c>
      <c r="C573">
        <v>-8</v>
      </c>
    </row>
    <row r="574" spans="1:3" x14ac:dyDescent="0.25">
      <c r="A574" t="s">
        <v>1192</v>
      </c>
      <c r="B574" s="44">
        <v>2087</v>
      </c>
      <c r="C574">
        <v>-8</v>
      </c>
    </row>
    <row r="575" spans="1:3" x14ac:dyDescent="0.25">
      <c r="A575" t="s">
        <v>1193</v>
      </c>
      <c r="B575" s="44">
        <v>1988.9109999999998</v>
      </c>
      <c r="C575">
        <v>-8</v>
      </c>
    </row>
    <row r="576" spans="1:3" x14ac:dyDescent="0.25">
      <c r="A576" t="s">
        <v>1194</v>
      </c>
      <c r="B576" s="44">
        <v>1988.9109999999998</v>
      </c>
      <c r="C576">
        <v>-8</v>
      </c>
    </row>
    <row r="577" spans="1:3" x14ac:dyDescent="0.25">
      <c r="A577" t="s">
        <v>1195</v>
      </c>
      <c r="B577" s="44">
        <v>1988.9109999999998</v>
      </c>
      <c r="C577">
        <v>-8</v>
      </c>
    </row>
    <row r="578" spans="1:3" x14ac:dyDescent="0.25">
      <c r="A578" t="s">
        <v>1196</v>
      </c>
      <c r="B578" s="44">
        <v>1892.9090000000001</v>
      </c>
      <c r="C578">
        <v>-7</v>
      </c>
    </row>
    <row r="579" spans="1:3" x14ac:dyDescent="0.25">
      <c r="A579" t="s">
        <v>1197</v>
      </c>
      <c r="B579" s="44">
        <v>2185.0889999999999</v>
      </c>
      <c r="C579">
        <v>-9</v>
      </c>
    </row>
    <row r="580" spans="1:3" x14ac:dyDescent="0.25">
      <c r="A580" t="s">
        <v>1198</v>
      </c>
      <c r="B580" s="44">
        <v>2281.0909999999999</v>
      </c>
      <c r="C580">
        <v>-10</v>
      </c>
    </row>
    <row r="581" spans="1:3" x14ac:dyDescent="0.25">
      <c r="A581" t="s">
        <v>1199</v>
      </c>
      <c r="B581" s="44">
        <v>2087</v>
      </c>
      <c r="C581">
        <v>-8</v>
      </c>
    </row>
    <row r="582" spans="1:3" x14ac:dyDescent="0.25">
      <c r="A582" t="s">
        <v>1200</v>
      </c>
      <c r="B582" s="44">
        <v>2087</v>
      </c>
      <c r="C582">
        <v>-9</v>
      </c>
    </row>
    <row r="583" spans="1:3" x14ac:dyDescent="0.25">
      <c r="A583" t="s">
        <v>1201</v>
      </c>
      <c r="B583" s="44">
        <v>2087</v>
      </c>
      <c r="C583">
        <v>-8</v>
      </c>
    </row>
    <row r="584" spans="1:3" x14ac:dyDescent="0.25">
      <c r="A584" t="s">
        <v>1202</v>
      </c>
      <c r="B584" s="44">
        <v>2185.0889999999999</v>
      </c>
      <c r="C584">
        <v>-8</v>
      </c>
    </row>
    <row r="585" spans="1:3" x14ac:dyDescent="0.25">
      <c r="A585" t="s">
        <v>1203</v>
      </c>
      <c r="B585" s="44">
        <v>1988.9109999999998</v>
      </c>
      <c r="C585">
        <v>-8</v>
      </c>
    </row>
    <row r="586" spans="1:3" x14ac:dyDescent="0.25">
      <c r="A586" t="s">
        <v>1204</v>
      </c>
      <c r="B586" s="44">
        <v>2087</v>
      </c>
      <c r="C586">
        <v>-9</v>
      </c>
    </row>
    <row r="587" spans="1:3" x14ac:dyDescent="0.25">
      <c r="A587" t="s">
        <v>1205</v>
      </c>
      <c r="B587" s="44">
        <v>1988.9109999999998</v>
      </c>
      <c r="C587">
        <v>-8</v>
      </c>
    </row>
    <row r="588" spans="1:3" x14ac:dyDescent="0.25">
      <c r="A588" t="s">
        <v>1206</v>
      </c>
      <c r="B588" s="44">
        <v>2185.0889999999999</v>
      </c>
      <c r="C588">
        <v>-9</v>
      </c>
    </row>
    <row r="589" spans="1:3" x14ac:dyDescent="0.25">
      <c r="A589" t="s">
        <v>1207</v>
      </c>
      <c r="B589" s="44">
        <v>2087</v>
      </c>
      <c r="C589">
        <v>-8</v>
      </c>
    </row>
    <row r="590" spans="1:3" x14ac:dyDescent="0.25">
      <c r="A590" t="s">
        <v>1208</v>
      </c>
      <c r="B590" s="44">
        <v>2185.0889999999999</v>
      </c>
      <c r="C590">
        <v>-9</v>
      </c>
    </row>
    <row r="591" spans="1:3" x14ac:dyDescent="0.25">
      <c r="A591" t="s">
        <v>1209</v>
      </c>
      <c r="B591" s="44">
        <v>2087</v>
      </c>
      <c r="C591">
        <v>-8</v>
      </c>
    </row>
    <row r="592" spans="1:3" x14ac:dyDescent="0.25">
      <c r="A592" t="s">
        <v>1210</v>
      </c>
      <c r="B592" s="44">
        <v>2087</v>
      </c>
      <c r="C592">
        <v>-8</v>
      </c>
    </row>
    <row r="593" spans="1:3" x14ac:dyDescent="0.25">
      <c r="A593" t="s">
        <v>1211</v>
      </c>
      <c r="B593" s="44">
        <v>2087</v>
      </c>
      <c r="C593">
        <v>-8</v>
      </c>
    </row>
    <row r="594" spans="1:3" x14ac:dyDescent="0.25">
      <c r="A594" t="s">
        <v>1212</v>
      </c>
      <c r="B594" s="44">
        <v>2087</v>
      </c>
      <c r="C594">
        <v>-8</v>
      </c>
    </row>
    <row r="595" spans="1:3" x14ac:dyDescent="0.25">
      <c r="A595" t="s">
        <v>1213</v>
      </c>
      <c r="B595" s="44">
        <v>2281.0909999999999</v>
      </c>
      <c r="C595">
        <v>-10</v>
      </c>
    </row>
    <row r="596" spans="1:3" x14ac:dyDescent="0.25">
      <c r="A596" t="s">
        <v>1214</v>
      </c>
      <c r="B596" s="44">
        <v>2087</v>
      </c>
      <c r="C596">
        <v>-8</v>
      </c>
    </row>
    <row r="597" spans="1:3" x14ac:dyDescent="0.25">
      <c r="A597" t="s">
        <v>1215</v>
      </c>
      <c r="B597" s="44">
        <v>2087</v>
      </c>
      <c r="C597">
        <v>-8</v>
      </c>
    </row>
    <row r="598" spans="1:3" x14ac:dyDescent="0.25">
      <c r="A598" t="s">
        <v>1216</v>
      </c>
      <c r="B598" s="44">
        <v>2087</v>
      </c>
      <c r="C598">
        <v>-8</v>
      </c>
    </row>
    <row r="599" spans="1:3" x14ac:dyDescent="0.25">
      <c r="A599" t="s">
        <v>1217</v>
      </c>
      <c r="B599" s="44">
        <v>2185.0889999999999</v>
      </c>
      <c r="C599">
        <v>-9</v>
      </c>
    </row>
    <row r="600" spans="1:3" x14ac:dyDescent="0.25">
      <c r="A600" t="s">
        <v>1218</v>
      </c>
      <c r="B600" s="44">
        <v>2087</v>
      </c>
      <c r="C600">
        <v>-8</v>
      </c>
    </row>
    <row r="601" spans="1:3" x14ac:dyDescent="0.25">
      <c r="A601" t="s">
        <v>1219</v>
      </c>
      <c r="B601" s="44">
        <v>2087</v>
      </c>
      <c r="C601">
        <v>-8</v>
      </c>
    </row>
    <row r="602" spans="1:3" x14ac:dyDescent="0.25">
      <c r="A602" t="s">
        <v>1220</v>
      </c>
      <c r="B602" s="44">
        <v>2961.453</v>
      </c>
      <c r="C602">
        <v>-12</v>
      </c>
    </row>
    <row r="603" spans="1:3" x14ac:dyDescent="0.25">
      <c r="A603" t="s">
        <v>1221</v>
      </c>
      <c r="B603" s="44">
        <v>2087</v>
      </c>
      <c r="C603">
        <v>-8</v>
      </c>
    </row>
    <row r="604" spans="1:3" x14ac:dyDescent="0.25">
      <c r="A604" t="s">
        <v>1222</v>
      </c>
      <c r="B604" s="44">
        <v>2087</v>
      </c>
      <c r="C604">
        <v>-8</v>
      </c>
    </row>
    <row r="605" spans="1:3" x14ac:dyDescent="0.25">
      <c r="A605" t="s">
        <v>1223</v>
      </c>
      <c r="B605" s="44">
        <v>1988.9109999999998</v>
      </c>
      <c r="C605">
        <v>-8</v>
      </c>
    </row>
    <row r="606" spans="1:3" x14ac:dyDescent="0.25">
      <c r="A606" t="s">
        <v>1224</v>
      </c>
      <c r="B606" s="44">
        <v>1988.9109999999998</v>
      </c>
      <c r="C606">
        <v>-8</v>
      </c>
    </row>
    <row r="607" spans="1:3" x14ac:dyDescent="0.25">
      <c r="A607" t="s">
        <v>1225</v>
      </c>
      <c r="B607" s="44">
        <v>1988.9109999999998</v>
      </c>
      <c r="C607">
        <v>-8</v>
      </c>
    </row>
    <row r="608" spans="1:3" x14ac:dyDescent="0.25">
      <c r="A608" t="s">
        <v>1226</v>
      </c>
      <c r="B608" s="44">
        <v>2281.0909999999999</v>
      </c>
      <c r="C608">
        <v>-9</v>
      </c>
    </row>
    <row r="609" spans="1:3" x14ac:dyDescent="0.25">
      <c r="A609" t="s">
        <v>1227</v>
      </c>
      <c r="B609" s="44">
        <v>1988.9109999999998</v>
      </c>
      <c r="C609">
        <v>-8</v>
      </c>
    </row>
    <row r="610" spans="1:3" x14ac:dyDescent="0.25">
      <c r="A610" t="s">
        <v>1228</v>
      </c>
      <c r="B610" s="44">
        <v>2185.0889999999999</v>
      </c>
      <c r="C610">
        <v>-9</v>
      </c>
    </row>
    <row r="611" spans="1:3" x14ac:dyDescent="0.25">
      <c r="A611" t="s">
        <v>1229</v>
      </c>
      <c r="B611" s="44">
        <v>2281.0909999999999</v>
      </c>
      <c r="C611">
        <v>-10</v>
      </c>
    </row>
    <row r="612" spans="1:3" x14ac:dyDescent="0.25">
      <c r="A612" t="s">
        <v>1230</v>
      </c>
      <c r="B612" s="44">
        <v>2087</v>
      </c>
      <c r="C612">
        <v>-8</v>
      </c>
    </row>
    <row r="613" spans="1:3" x14ac:dyDescent="0.25">
      <c r="A613" t="s">
        <v>1231</v>
      </c>
      <c r="B613" s="44">
        <v>2087</v>
      </c>
      <c r="C613">
        <v>-8</v>
      </c>
    </row>
    <row r="614" spans="1:3" x14ac:dyDescent="0.25">
      <c r="A614" t="s">
        <v>1232</v>
      </c>
      <c r="B614" s="44">
        <v>2087</v>
      </c>
      <c r="C614">
        <v>-8</v>
      </c>
    </row>
    <row r="615" spans="1:3" x14ac:dyDescent="0.25">
      <c r="A615" t="s">
        <v>1233</v>
      </c>
      <c r="B615" s="44">
        <v>2281.0909999999999</v>
      </c>
      <c r="C615">
        <v>-9</v>
      </c>
    </row>
    <row r="616" spans="1:3" x14ac:dyDescent="0.25">
      <c r="A616" t="s">
        <v>1234</v>
      </c>
      <c r="B616" s="44">
        <v>2087</v>
      </c>
      <c r="C616">
        <v>-8</v>
      </c>
    </row>
    <row r="617" spans="1:3" x14ac:dyDescent="0.25">
      <c r="A617" t="s">
        <v>1235</v>
      </c>
      <c r="B617" s="44">
        <v>2379.1800000000003</v>
      </c>
      <c r="C617">
        <v>-10</v>
      </c>
    </row>
    <row r="618" spans="1:3" x14ac:dyDescent="0.25">
      <c r="A618" t="s">
        <v>1236</v>
      </c>
      <c r="B618" s="44">
        <v>2185.0889999999999</v>
      </c>
      <c r="C618">
        <v>-9</v>
      </c>
    </row>
    <row r="619" spans="1:3" x14ac:dyDescent="0.25">
      <c r="A619" t="s">
        <v>1237</v>
      </c>
      <c r="B619" s="44">
        <v>2087</v>
      </c>
      <c r="C619">
        <v>-8</v>
      </c>
    </row>
    <row r="620" spans="1:3" x14ac:dyDescent="0.25">
      <c r="A620" t="s">
        <v>1238</v>
      </c>
      <c r="B620" s="44">
        <v>2379.1800000000003</v>
      </c>
      <c r="C620">
        <v>-10</v>
      </c>
    </row>
    <row r="621" spans="1:3" x14ac:dyDescent="0.25">
      <c r="A621" t="s">
        <v>1239</v>
      </c>
      <c r="B621" s="44">
        <v>2087</v>
      </c>
      <c r="C621">
        <v>-8</v>
      </c>
    </row>
    <row r="622" spans="1:3" x14ac:dyDescent="0.25">
      <c r="A622" t="s">
        <v>1240</v>
      </c>
      <c r="B622" s="44">
        <v>2087</v>
      </c>
      <c r="C622">
        <v>-8</v>
      </c>
    </row>
    <row r="623" spans="1:3" x14ac:dyDescent="0.25">
      <c r="A623" t="s">
        <v>1241</v>
      </c>
      <c r="B623" s="44">
        <v>2087</v>
      </c>
      <c r="C623">
        <v>-8</v>
      </c>
    </row>
    <row r="624" spans="1:3" x14ac:dyDescent="0.25">
      <c r="A624" t="s">
        <v>1242</v>
      </c>
      <c r="B624" s="44">
        <v>2087</v>
      </c>
      <c r="C624">
        <v>-8</v>
      </c>
    </row>
    <row r="625" spans="1:3" x14ac:dyDescent="0.25">
      <c r="A625" t="s">
        <v>1243</v>
      </c>
      <c r="B625" s="44">
        <v>2379.1800000000003</v>
      </c>
      <c r="C625">
        <v>-10</v>
      </c>
    </row>
    <row r="626" spans="1:3" x14ac:dyDescent="0.25">
      <c r="A626" t="s">
        <v>1244</v>
      </c>
      <c r="B626" s="44">
        <v>2281.0909999999999</v>
      </c>
      <c r="C626">
        <v>-10</v>
      </c>
    </row>
    <row r="627" spans="1:3" x14ac:dyDescent="0.25">
      <c r="A627" t="s">
        <v>1245</v>
      </c>
      <c r="B627" s="44">
        <v>2185.0889999999999</v>
      </c>
      <c r="C627">
        <v>-9</v>
      </c>
    </row>
    <row r="628" spans="1:3" x14ac:dyDescent="0.25">
      <c r="A628" t="s">
        <v>1246</v>
      </c>
      <c r="B628" s="44">
        <v>2548.2270000000003</v>
      </c>
      <c r="C628">
        <v>-11</v>
      </c>
    </row>
    <row r="629" spans="1:3" x14ac:dyDescent="0.25">
      <c r="A629" t="s">
        <v>1247</v>
      </c>
      <c r="B629" s="44">
        <v>2379.1800000000003</v>
      </c>
      <c r="C629">
        <v>-10</v>
      </c>
    </row>
    <row r="630" spans="1:3" x14ac:dyDescent="0.25">
      <c r="A630" t="s">
        <v>1248</v>
      </c>
      <c r="B630" s="44">
        <v>2087</v>
      </c>
      <c r="C630">
        <v>-8</v>
      </c>
    </row>
    <row r="631" spans="1:3" x14ac:dyDescent="0.25">
      <c r="A631" t="s">
        <v>1249</v>
      </c>
      <c r="B631" s="44">
        <v>2087</v>
      </c>
      <c r="C631">
        <v>-8</v>
      </c>
    </row>
    <row r="632" spans="1:3" x14ac:dyDescent="0.25">
      <c r="A632" t="s">
        <v>1250</v>
      </c>
      <c r="B632" s="44">
        <v>2087</v>
      </c>
      <c r="C632">
        <v>-8</v>
      </c>
    </row>
    <row r="633" spans="1:3" x14ac:dyDescent="0.25">
      <c r="A633" t="s">
        <v>1251</v>
      </c>
      <c r="B633" s="44">
        <v>2281.0909999999999</v>
      </c>
      <c r="C633">
        <v>-9</v>
      </c>
    </row>
    <row r="634" spans="1:3" x14ac:dyDescent="0.25">
      <c r="A634" t="s">
        <v>1252</v>
      </c>
      <c r="B634" s="44">
        <v>2281.0909999999999</v>
      </c>
      <c r="C634">
        <v>-10</v>
      </c>
    </row>
    <row r="635" spans="1:3" x14ac:dyDescent="0.25">
      <c r="A635" t="s">
        <v>1253</v>
      </c>
      <c r="B635" s="44">
        <v>2087</v>
      </c>
      <c r="C635">
        <v>-8</v>
      </c>
    </row>
    <row r="636" spans="1:3" x14ac:dyDescent="0.25">
      <c r="A636" t="s">
        <v>1254</v>
      </c>
      <c r="B636" s="44">
        <v>2185.0889999999999</v>
      </c>
      <c r="C636">
        <v>-9</v>
      </c>
    </row>
    <row r="637" spans="1:3" x14ac:dyDescent="0.25">
      <c r="A637" t="s">
        <v>1255</v>
      </c>
      <c r="B637" s="44">
        <v>2185.0889999999999</v>
      </c>
      <c r="C637">
        <v>-8</v>
      </c>
    </row>
    <row r="638" spans="1:3" x14ac:dyDescent="0.25">
      <c r="A638" t="s">
        <v>1256</v>
      </c>
      <c r="B638" s="44">
        <v>1988.9109999999998</v>
      </c>
      <c r="C638">
        <v>-8</v>
      </c>
    </row>
    <row r="639" spans="1:3" x14ac:dyDescent="0.25">
      <c r="A639" t="s">
        <v>1257</v>
      </c>
      <c r="B639" s="44">
        <v>2087</v>
      </c>
      <c r="C639">
        <v>-8</v>
      </c>
    </row>
    <row r="640" spans="1:3" x14ac:dyDescent="0.25">
      <c r="A640" t="s">
        <v>1258</v>
      </c>
      <c r="B640" s="44">
        <v>2087</v>
      </c>
      <c r="C640">
        <v>-8</v>
      </c>
    </row>
    <row r="641" spans="1:3" x14ac:dyDescent="0.25">
      <c r="A641" t="s">
        <v>1259</v>
      </c>
      <c r="B641" s="44">
        <v>1988.9109999999998</v>
      </c>
      <c r="C641">
        <v>-8</v>
      </c>
    </row>
    <row r="642" spans="1:3" x14ac:dyDescent="0.25">
      <c r="A642" t="s">
        <v>1260</v>
      </c>
      <c r="B642" s="44">
        <v>2281.0909999999999</v>
      </c>
      <c r="C642">
        <v>-9</v>
      </c>
    </row>
    <row r="643" spans="1:3" x14ac:dyDescent="0.25">
      <c r="A643" t="s">
        <v>1261</v>
      </c>
      <c r="B643" s="44">
        <v>2087</v>
      </c>
      <c r="C643">
        <v>-8</v>
      </c>
    </row>
    <row r="644" spans="1:3" x14ac:dyDescent="0.25">
      <c r="A644" t="s">
        <v>1262</v>
      </c>
      <c r="B644" s="44">
        <v>2087</v>
      </c>
      <c r="C644">
        <v>-8</v>
      </c>
    </row>
    <row r="645" spans="1:3" x14ac:dyDescent="0.25">
      <c r="A645" t="s">
        <v>1263</v>
      </c>
      <c r="B645" s="44">
        <v>2087</v>
      </c>
      <c r="C645">
        <v>-9</v>
      </c>
    </row>
    <row r="646" spans="1:3" x14ac:dyDescent="0.25">
      <c r="A646" t="s">
        <v>1264</v>
      </c>
      <c r="B646" s="44">
        <v>2087</v>
      </c>
      <c r="C646">
        <v>-8</v>
      </c>
    </row>
    <row r="647" spans="1:3" x14ac:dyDescent="0.25">
      <c r="A647" t="s">
        <v>1265</v>
      </c>
      <c r="B647" s="44">
        <v>2087</v>
      </c>
      <c r="C647">
        <v>-8</v>
      </c>
    </row>
    <row r="648" spans="1:3" x14ac:dyDescent="0.25">
      <c r="A648" t="s">
        <v>1266</v>
      </c>
      <c r="B648" s="44">
        <v>2087</v>
      </c>
      <c r="C648">
        <v>-8</v>
      </c>
    </row>
    <row r="649" spans="1:3" x14ac:dyDescent="0.25">
      <c r="A649" t="s">
        <v>1267</v>
      </c>
      <c r="B649" s="44">
        <v>2185.0889999999999</v>
      </c>
      <c r="C649">
        <v>-9</v>
      </c>
    </row>
    <row r="650" spans="1:3" x14ac:dyDescent="0.25">
      <c r="A650" t="s">
        <v>1268</v>
      </c>
      <c r="B650" s="44">
        <v>2185.0889999999999</v>
      </c>
      <c r="C650">
        <v>-8</v>
      </c>
    </row>
    <row r="651" spans="1:3" x14ac:dyDescent="0.25">
      <c r="A651" t="s">
        <v>1269</v>
      </c>
      <c r="B651" s="44">
        <v>2185.0889999999999</v>
      </c>
      <c r="C651">
        <v>-8</v>
      </c>
    </row>
    <row r="652" spans="1:3" x14ac:dyDescent="0.25">
      <c r="A652" t="s">
        <v>1270</v>
      </c>
      <c r="B652" s="44">
        <v>2548.2270000000003</v>
      </c>
      <c r="C652">
        <v>-11</v>
      </c>
    </row>
    <row r="653" spans="1:3" x14ac:dyDescent="0.25">
      <c r="A653" t="s">
        <v>1271</v>
      </c>
      <c r="B653" s="44">
        <v>2379.1800000000003</v>
      </c>
      <c r="C653">
        <v>-10</v>
      </c>
    </row>
    <row r="654" spans="1:3" x14ac:dyDescent="0.25">
      <c r="A654" t="s">
        <v>1272</v>
      </c>
      <c r="B654" s="44">
        <v>2087</v>
      </c>
      <c r="C654">
        <v>-8</v>
      </c>
    </row>
    <row r="655" spans="1:3" x14ac:dyDescent="0.25">
      <c r="A655" t="s">
        <v>1273</v>
      </c>
      <c r="B655" s="44">
        <v>1988.9109999999998</v>
      </c>
      <c r="C655">
        <v>-8</v>
      </c>
    </row>
    <row r="656" spans="1:3" x14ac:dyDescent="0.25">
      <c r="A656" t="s">
        <v>1274</v>
      </c>
      <c r="B656" s="44">
        <v>2087</v>
      </c>
      <c r="C656">
        <v>-8</v>
      </c>
    </row>
    <row r="657" spans="1:3" x14ac:dyDescent="0.25">
      <c r="A657" t="s">
        <v>1275</v>
      </c>
      <c r="B657" s="44">
        <v>2185.0889999999999</v>
      </c>
      <c r="C657">
        <v>-8</v>
      </c>
    </row>
    <row r="658" spans="1:3" x14ac:dyDescent="0.25">
      <c r="A658" t="s">
        <v>1276</v>
      </c>
      <c r="B658" s="44">
        <v>2548.2270000000003</v>
      </c>
      <c r="C658">
        <v>-10</v>
      </c>
    </row>
    <row r="659" spans="1:3" x14ac:dyDescent="0.25">
      <c r="A659" t="s">
        <v>1277</v>
      </c>
      <c r="B659" s="44">
        <v>2281.0909999999999</v>
      </c>
      <c r="C659">
        <v>-9</v>
      </c>
    </row>
    <row r="660" spans="1:3" x14ac:dyDescent="0.25">
      <c r="A660" t="s">
        <v>1278</v>
      </c>
      <c r="B660" s="44">
        <v>2281.0909999999999</v>
      </c>
      <c r="C660">
        <v>-10</v>
      </c>
    </row>
    <row r="661" spans="1:3" x14ac:dyDescent="0.25">
      <c r="A661" t="s">
        <v>1279</v>
      </c>
      <c r="B661" s="44">
        <v>2087</v>
      </c>
      <c r="C661">
        <v>-8</v>
      </c>
    </row>
    <row r="662" spans="1:3" x14ac:dyDescent="0.25">
      <c r="A662" t="s">
        <v>1280</v>
      </c>
      <c r="B662" s="44">
        <v>2087</v>
      </c>
      <c r="C662">
        <v>-8</v>
      </c>
    </row>
    <row r="663" spans="1:3" x14ac:dyDescent="0.25">
      <c r="A663" t="s">
        <v>1281</v>
      </c>
      <c r="B663" s="44">
        <v>2087</v>
      </c>
      <c r="C663">
        <v>-8</v>
      </c>
    </row>
    <row r="664" spans="1:3" x14ac:dyDescent="0.25">
      <c r="A664" t="s">
        <v>1282</v>
      </c>
      <c r="B664" s="44">
        <v>1988.9109999999998</v>
      </c>
      <c r="C664">
        <v>-8</v>
      </c>
    </row>
    <row r="665" spans="1:3" x14ac:dyDescent="0.25">
      <c r="A665" t="s">
        <v>1283</v>
      </c>
      <c r="B665" s="44">
        <v>2087</v>
      </c>
      <c r="C665">
        <v>-8</v>
      </c>
    </row>
    <row r="666" spans="1:3" x14ac:dyDescent="0.25">
      <c r="A666" t="s">
        <v>1284</v>
      </c>
      <c r="B666" s="44">
        <v>2281.0909999999999</v>
      </c>
      <c r="C666">
        <v>-10</v>
      </c>
    </row>
    <row r="667" spans="1:3" x14ac:dyDescent="0.25">
      <c r="A667" t="s">
        <v>1285</v>
      </c>
      <c r="B667" s="44">
        <v>2379.1800000000003</v>
      </c>
      <c r="C667">
        <v>-10</v>
      </c>
    </row>
    <row r="668" spans="1:3" x14ac:dyDescent="0.25">
      <c r="A668" t="s">
        <v>1286</v>
      </c>
      <c r="B668" s="44">
        <v>2087</v>
      </c>
      <c r="C668">
        <v>-8</v>
      </c>
    </row>
    <row r="669" spans="1:3" x14ac:dyDescent="0.25">
      <c r="A669" t="s">
        <v>1287</v>
      </c>
      <c r="B669" s="44">
        <v>2379.1800000000003</v>
      </c>
      <c r="C669">
        <v>-10</v>
      </c>
    </row>
    <row r="670" spans="1:3" x14ac:dyDescent="0.25">
      <c r="A670" t="s">
        <v>1288</v>
      </c>
      <c r="B670" s="44">
        <v>2185.0889999999999</v>
      </c>
      <c r="C670">
        <v>-9</v>
      </c>
    </row>
    <row r="671" spans="1:3" x14ac:dyDescent="0.25">
      <c r="A671" t="s">
        <v>1289</v>
      </c>
      <c r="B671" s="44">
        <v>2281.0909999999999</v>
      </c>
      <c r="C671">
        <v>-10</v>
      </c>
    </row>
    <row r="672" spans="1:3" x14ac:dyDescent="0.25">
      <c r="A672" t="s">
        <v>1290</v>
      </c>
      <c r="B672" s="44">
        <v>2185.0889999999999</v>
      </c>
      <c r="C672">
        <v>-9</v>
      </c>
    </row>
    <row r="673" spans="1:3" x14ac:dyDescent="0.25">
      <c r="A673" t="s">
        <v>1291</v>
      </c>
      <c r="B673" s="44">
        <v>2185.0889999999999</v>
      </c>
      <c r="C673">
        <v>-9</v>
      </c>
    </row>
    <row r="674" spans="1:3" x14ac:dyDescent="0.25">
      <c r="A674" t="s">
        <v>1292</v>
      </c>
      <c r="B674" s="44">
        <v>2379.1800000000003</v>
      </c>
      <c r="C674">
        <v>-10</v>
      </c>
    </row>
    <row r="675" spans="1:3" x14ac:dyDescent="0.25">
      <c r="A675" t="s">
        <v>1293</v>
      </c>
      <c r="B675" s="44">
        <v>2379.1800000000003</v>
      </c>
      <c r="C675">
        <v>-10</v>
      </c>
    </row>
    <row r="676" spans="1:3" x14ac:dyDescent="0.25">
      <c r="A676" t="s">
        <v>1294</v>
      </c>
      <c r="B676" s="44">
        <v>2087</v>
      </c>
      <c r="C676">
        <v>-9</v>
      </c>
    </row>
    <row r="677" spans="1:3" x14ac:dyDescent="0.25">
      <c r="A677" t="s">
        <v>1295</v>
      </c>
      <c r="B677" s="44">
        <v>2185.0889999999999</v>
      </c>
      <c r="C677">
        <v>-9</v>
      </c>
    </row>
    <row r="678" spans="1:3" x14ac:dyDescent="0.25">
      <c r="A678" t="s">
        <v>1296</v>
      </c>
      <c r="B678" s="44">
        <v>2281.0909999999999</v>
      </c>
      <c r="C678">
        <v>-9</v>
      </c>
    </row>
    <row r="679" spans="1:3" x14ac:dyDescent="0.25">
      <c r="A679" t="s">
        <v>1297</v>
      </c>
      <c r="B679" s="44">
        <v>2185.0889999999999</v>
      </c>
      <c r="C679">
        <v>-9</v>
      </c>
    </row>
    <row r="680" spans="1:3" x14ac:dyDescent="0.25">
      <c r="A680" t="s">
        <v>1298</v>
      </c>
      <c r="B680" s="44">
        <v>2961.453</v>
      </c>
      <c r="C680">
        <v>-11</v>
      </c>
    </row>
    <row r="681" spans="1:3" x14ac:dyDescent="0.25">
      <c r="A681" t="s">
        <v>1299</v>
      </c>
      <c r="B681" s="44">
        <v>2790.319</v>
      </c>
      <c r="C681">
        <v>-12</v>
      </c>
    </row>
    <row r="682" spans="1:3" x14ac:dyDescent="0.25">
      <c r="A682" t="s">
        <v>1300</v>
      </c>
      <c r="B682" s="44">
        <v>2790.319</v>
      </c>
      <c r="C682">
        <v>-11</v>
      </c>
    </row>
    <row r="683" spans="1:3" x14ac:dyDescent="0.25">
      <c r="A683" t="s">
        <v>1301</v>
      </c>
      <c r="B683" s="44">
        <v>2185.0889999999999</v>
      </c>
      <c r="C683">
        <v>-8</v>
      </c>
    </row>
    <row r="684" spans="1:3" x14ac:dyDescent="0.25">
      <c r="A684" t="s">
        <v>1302</v>
      </c>
      <c r="B684" s="44">
        <v>2185.0889999999999</v>
      </c>
      <c r="C684">
        <v>-9</v>
      </c>
    </row>
    <row r="685" spans="1:3" x14ac:dyDescent="0.25">
      <c r="A685" t="s">
        <v>1303</v>
      </c>
      <c r="B685" s="44">
        <v>2379.1800000000003</v>
      </c>
      <c r="C685">
        <v>-10</v>
      </c>
    </row>
    <row r="686" spans="1:3" x14ac:dyDescent="0.25">
      <c r="A686" t="s">
        <v>1304</v>
      </c>
      <c r="B686" s="44">
        <v>2087</v>
      </c>
      <c r="C686">
        <v>-9</v>
      </c>
    </row>
    <row r="687" spans="1:3" x14ac:dyDescent="0.25">
      <c r="A687" t="s">
        <v>1305</v>
      </c>
      <c r="B687" s="44">
        <v>2281.0909999999999</v>
      </c>
      <c r="C687">
        <v>-9</v>
      </c>
    </row>
    <row r="688" spans="1:3" x14ac:dyDescent="0.25">
      <c r="A688" t="s">
        <v>1306</v>
      </c>
      <c r="B688" s="44">
        <v>2185.0889999999999</v>
      </c>
      <c r="C688">
        <v>-9</v>
      </c>
    </row>
    <row r="689" spans="1:3" x14ac:dyDescent="0.25">
      <c r="A689" t="s">
        <v>1307</v>
      </c>
      <c r="B689" s="44">
        <v>2379.1800000000003</v>
      </c>
      <c r="C689">
        <v>-10</v>
      </c>
    </row>
    <row r="690" spans="1:3" x14ac:dyDescent="0.25">
      <c r="A690" t="s">
        <v>1308</v>
      </c>
      <c r="B690" s="44">
        <v>2379.1800000000003</v>
      </c>
      <c r="C690">
        <v>-10</v>
      </c>
    </row>
    <row r="691" spans="1:3" x14ac:dyDescent="0.25">
      <c r="A691" t="s">
        <v>1309</v>
      </c>
      <c r="B691" s="44">
        <v>2185.0889999999999</v>
      </c>
      <c r="C691">
        <v>-8</v>
      </c>
    </row>
    <row r="692" spans="1:3" x14ac:dyDescent="0.25">
      <c r="A692" t="s">
        <v>1310</v>
      </c>
      <c r="B692" s="44">
        <v>2185.0889999999999</v>
      </c>
      <c r="C692">
        <v>-9</v>
      </c>
    </row>
    <row r="693" spans="1:3" x14ac:dyDescent="0.25">
      <c r="A693" t="s">
        <v>1311</v>
      </c>
      <c r="B693" s="44">
        <v>2379.1800000000003</v>
      </c>
      <c r="C693">
        <v>-10</v>
      </c>
    </row>
    <row r="694" spans="1:3" x14ac:dyDescent="0.25">
      <c r="A694" t="s">
        <v>1312</v>
      </c>
      <c r="B694" s="44">
        <v>2379.1800000000003</v>
      </c>
      <c r="C694">
        <v>-10</v>
      </c>
    </row>
    <row r="695" spans="1:3" x14ac:dyDescent="0.25">
      <c r="A695" t="s">
        <v>1313</v>
      </c>
      <c r="B695" s="44">
        <v>2185.0889999999999</v>
      </c>
      <c r="C695">
        <v>-9</v>
      </c>
    </row>
    <row r="696" spans="1:3" x14ac:dyDescent="0.25">
      <c r="A696" t="s">
        <v>1314</v>
      </c>
      <c r="B696" s="44">
        <v>2185.0889999999999</v>
      </c>
      <c r="C696">
        <v>-9</v>
      </c>
    </row>
    <row r="697" spans="1:3" x14ac:dyDescent="0.25">
      <c r="A697" t="s">
        <v>1315</v>
      </c>
      <c r="B697" s="44">
        <v>2548.2270000000003</v>
      </c>
      <c r="C697">
        <v>-11</v>
      </c>
    </row>
    <row r="698" spans="1:3" x14ac:dyDescent="0.25">
      <c r="A698" t="s">
        <v>1316</v>
      </c>
      <c r="B698" s="44">
        <v>2281.0909999999999</v>
      </c>
      <c r="C698">
        <v>-10</v>
      </c>
    </row>
    <row r="699" spans="1:3" x14ac:dyDescent="0.25">
      <c r="A699" t="s">
        <v>1317</v>
      </c>
      <c r="B699" s="44">
        <v>2281.0909999999999</v>
      </c>
      <c r="C699">
        <v>-9</v>
      </c>
    </row>
    <row r="700" spans="1:3" x14ac:dyDescent="0.25">
      <c r="A700" t="s">
        <v>1318</v>
      </c>
      <c r="B700" s="44">
        <v>2281.0909999999999</v>
      </c>
      <c r="C700">
        <v>-9</v>
      </c>
    </row>
    <row r="701" spans="1:3" x14ac:dyDescent="0.25">
      <c r="A701" t="s">
        <v>1319</v>
      </c>
      <c r="B701" s="44">
        <v>2281.0909999999999</v>
      </c>
      <c r="C701">
        <v>-9</v>
      </c>
    </row>
    <row r="702" spans="1:3" x14ac:dyDescent="0.25">
      <c r="A702" t="s">
        <v>1320</v>
      </c>
      <c r="B702" s="44">
        <v>2281.0909999999999</v>
      </c>
      <c r="C702">
        <v>-9</v>
      </c>
    </row>
    <row r="703" spans="1:3" x14ac:dyDescent="0.25">
      <c r="A703" t="s">
        <v>1321</v>
      </c>
      <c r="B703" s="44">
        <v>2087</v>
      </c>
      <c r="C703">
        <v>-8</v>
      </c>
    </row>
    <row r="704" spans="1:3" x14ac:dyDescent="0.25">
      <c r="A704" t="s">
        <v>1322</v>
      </c>
      <c r="B704" s="44">
        <v>2281.0909999999999</v>
      </c>
      <c r="C704">
        <v>-10</v>
      </c>
    </row>
    <row r="705" spans="1:3" x14ac:dyDescent="0.25">
      <c r="A705" t="s">
        <v>1323</v>
      </c>
      <c r="B705" s="44">
        <v>2185.0889999999999</v>
      </c>
      <c r="C705">
        <v>-9</v>
      </c>
    </row>
    <row r="706" spans="1:3" x14ac:dyDescent="0.25">
      <c r="A706" t="s">
        <v>1324</v>
      </c>
      <c r="B706" s="44">
        <v>2087</v>
      </c>
      <c r="C706">
        <v>-8</v>
      </c>
    </row>
    <row r="707" spans="1:3" x14ac:dyDescent="0.25">
      <c r="A707" t="s">
        <v>1325</v>
      </c>
      <c r="B707" s="44">
        <v>2185.0889999999999</v>
      </c>
      <c r="C707">
        <v>-9</v>
      </c>
    </row>
    <row r="708" spans="1:3" x14ac:dyDescent="0.25">
      <c r="A708" t="s">
        <v>1326</v>
      </c>
      <c r="B708" s="44">
        <v>2281.0909999999999</v>
      </c>
      <c r="C708">
        <v>-10</v>
      </c>
    </row>
    <row r="709" spans="1:3" x14ac:dyDescent="0.25">
      <c r="A709" t="s">
        <v>1327</v>
      </c>
      <c r="B709" s="44">
        <v>2281.0909999999999</v>
      </c>
      <c r="C709">
        <v>-9</v>
      </c>
    </row>
    <row r="710" spans="1:3" x14ac:dyDescent="0.25">
      <c r="A710" t="s">
        <v>1328</v>
      </c>
      <c r="B710" s="44">
        <v>2281.0909999999999</v>
      </c>
      <c r="C710">
        <v>-10</v>
      </c>
    </row>
    <row r="711" spans="1:3" x14ac:dyDescent="0.25">
      <c r="A711" t="s">
        <v>1329</v>
      </c>
      <c r="B711" s="44">
        <v>2548.2270000000003</v>
      </c>
      <c r="C711">
        <v>-10</v>
      </c>
    </row>
    <row r="712" spans="1:3" x14ac:dyDescent="0.25">
      <c r="A712" t="s">
        <v>1330</v>
      </c>
      <c r="B712" s="44">
        <v>2281.0909999999999</v>
      </c>
      <c r="C712">
        <v>-9</v>
      </c>
    </row>
    <row r="713" spans="1:3" x14ac:dyDescent="0.25">
      <c r="A713" t="s">
        <v>1331</v>
      </c>
      <c r="B713" s="44">
        <v>2281.0909999999999</v>
      </c>
      <c r="C713">
        <v>-10</v>
      </c>
    </row>
    <row r="714" spans="1:3" x14ac:dyDescent="0.25">
      <c r="A714" t="s">
        <v>1332</v>
      </c>
      <c r="B714" s="44">
        <v>2379.1800000000003</v>
      </c>
      <c r="C714">
        <v>-10</v>
      </c>
    </row>
    <row r="715" spans="1:3" x14ac:dyDescent="0.25">
      <c r="A715" t="s">
        <v>1333</v>
      </c>
      <c r="B715" s="44">
        <v>2185.0889999999999</v>
      </c>
      <c r="C715">
        <v>-8</v>
      </c>
    </row>
    <row r="716" spans="1:3" x14ac:dyDescent="0.25">
      <c r="A716" t="s">
        <v>1334</v>
      </c>
      <c r="B716" s="44">
        <v>2185.0889999999999</v>
      </c>
      <c r="C716">
        <v>-9</v>
      </c>
    </row>
    <row r="717" spans="1:3" x14ac:dyDescent="0.25">
      <c r="A717" t="s">
        <v>1335</v>
      </c>
      <c r="B717" s="44">
        <v>2185.0889999999999</v>
      </c>
      <c r="C717">
        <v>-9</v>
      </c>
    </row>
    <row r="718" spans="1:3" x14ac:dyDescent="0.25">
      <c r="A718" t="s">
        <v>1336</v>
      </c>
      <c r="B718" s="44">
        <v>2281.0909999999999</v>
      </c>
      <c r="C718">
        <v>-9</v>
      </c>
    </row>
    <row r="719" spans="1:3" x14ac:dyDescent="0.25">
      <c r="A719" t="s">
        <v>1337</v>
      </c>
      <c r="B719" s="44">
        <v>2548.2270000000003</v>
      </c>
      <c r="C719">
        <v>-10</v>
      </c>
    </row>
    <row r="720" spans="1:3" x14ac:dyDescent="0.25">
      <c r="A720" t="s">
        <v>1338</v>
      </c>
      <c r="B720" s="44">
        <v>2087</v>
      </c>
      <c r="C720">
        <v>-8</v>
      </c>
    </row>
    <row r="721" spans="1:3" x14ac:dyDescent="0.25">
      <c r="A721" t="s">
        <v>1339</v>
      </c>
      <c r="B721" s="44">
        <v>2185.0889999999999</v>
      </c>
      <c r="C721">
        <v>-9</v>
      </c>
    </row>
    <row r="722" spans="1:3" x14ac:dyDescent="0.25">
      <c r="A722" t="s">
        <v>1340</v>
      </c>
      <c r="B722" s="44">
        <v>2185.0889999999999</v>
      </c>
      <c r="C722">
        <v>-9</v>
      </c>
    </row>
    <row r="723" spans="1:3" x14ac:dyDescent="0.25">
      <c r="A723" t="s">
        <v>1341</v>
      </c>
      <c r="B723" s="44">
        <v>2087</v>
      </c>
      <c r="C723">
        <v>-8</v>
      </c>
    </row>
    <row r="724" spans="1:3" x14ac:dyDescent="0.25">
      <c r="A724" t="s">
        <v>1341</v>
      </c>
      <c r="B724" s="44">
        <v>2087</v>
      </c>
      <c r="C724">
        <v>-8</v>
      </c>
    </row>
    <row r="725" spans="1:3" x14ac:dyDescent="0.25">
      <c r="A725" t="s">
        <v>1342</v>
      </c>
      <c r="B725" s="44">
        <v>2281.0909999999999</v>
      </c>
      <c r="C725">
        <v>-9</v>
      </c>
    </row>
    <row r="726" spans="1:3" x14ac:dyDescent="0.25">
      <c r="A726" t="s">
        <v>1343</v>
      </c>
      <c r="B726" s="44">
        <v>2379.1800000000003</v>
      </c>
      <c r="C726">
        <v>-11</v>
      </c>
    </row>
    <row r="727" spans="1:3" x14ac:dyDescent="0.25">
      <c r="A727" t="s">
        <v>1344</v>
      </c>
      <c r="B727" s="44">
        <v>2379.1800000000003</v>
      </c>
      <c r="C727">
        <v>-10</v>
      </c>
    </row>
    <row r="728" spans="1:3" x14ac:dyDescent="0.25">
      <c r="A728" t="s">
        <v>1345</v>
      </c>
      <c r="B728" s="44">
        <v>2548.2270000000003</v>
      </c>
      <c r="C728">
        <v>-10</v>
      </c>
    </row>
    <row r="729" spans="1:3" x14ac:dyDescent="0.25">
      <c r="A729" t="s">
        <v>1346</v>
      </c>
      <c r="B729" s="44">
        <v>2185.0889999999999</v>
      </c>
      <c r="C729">
        <v>-9</v>
      </c>
    </row>
    <row r="730" spans="1:3" x14ac:dyDescent="0.25">
      <c r="A730" t="s">
        <v>1347</v>
      </c>
      <c r="B730" s="44">
        <v>2548.2270000000003</v>
      </c>
      <c r="C730">
        <v>-11</v>
      </c>
    </row>
    <row r="731" spans="1:3" x14ac:dyDescent="0.25">
      <c r="A731" t="s">
        <v>1348</v>
      </c>
      <c r="B731" s="44">
        <v>2281.0909999999999</v>
      </c>
      <c r="C731">
        <v>-9</v>
      </c>
    </row>
    <row r="732" spans="1:3" x14ac:dyDescent="0.25">
      <c r="A732" t="s">
        <v>1349</v>
      </c>
      <c r="B732" s="44">
        <v>2087</v>
      </c>
      <c r="C732">
        <v>-8</v>
      </c>
    </row>
    <row r="733" spans="1:3" x14ac:dyDescent="0.25">
      <c r="A733" t="s">
        <v>1350</v>
      </c>
      <c r="B733" s="44">
        <v>2281.0909999999999</v>
      </c>
      <c r="C733">
        <v>-9</v>
      </c>
    </row>
    <row r="734" spans="1:3" x14ac:dyDescent="0.25">
      <c r="A734" t="s">
        <v>1351</v>
      </c>
      <c r="B734" s="44">
        <v>2379.1800000000003</v>
      </c>
      <c r="C734">
        <v>-10</v>
      </c>
    </row>
    <row r="735" spans="1:3" x14ac:dyDescent="0.25">
      <c r="A735" t="s">
        <v>1352</v>
      </c>
      <c r="B735" s="44">
        <v>2379.1800000000003</v>
      </c>
      <c r="C735">
        <v>-10</v>
      </c>
    </row>
    <row r="736" spans="1:3" x14ac:dyDescent="0.25">
      <c r="A736" t="s">
        <v>1353</v>
      </c>
      <c r="B736" s="44">
        <v>2281.0909999999999</v>
      </c>
      <c r="C736">
        <v>-9</v>
      </c>
    </row>
    <row r="737" spans="1:3" x14ac:dyDescent="0.25">
      <c r="A737" t="s">
        <v>1354</v>
      </c>
      <c r="B737" s="44">
        <v>2281.0909999999999</v>
      </c>
      <c r="C737">
        <v>-10</v>
      </c>
    </row>
    <row r="738" spans="1:3" x14ac:dyDescent="0.25">
      <c r="A738" t="s">
        <v>1355</v>
      </c>
      <c r="B738" s="44">
        <v>2185.0889999999999</v>
      </c>
      <c r="C738">
        <v>-8</v>
      </c>
    </row>
    <row r="739" spans="1:3" x14ac:dyDescent="0.25">
      <c r="A739" t="s">
        <v>1356</v>
      </c>
      <c r="B739" s="44">
        <v>2548.2270000000003</v>
      </c>
      <c r="C739">
        <v>-11</v>
      </c>
    </row>
    <row r="740" spans="1:3" x14ac:dyDescent="0.25">
      <c r="A740" t="s">
        <v>1357</v>
      </c>
      <c r="B740" s="44">
        <v>2185.0889999999999</v>
      </c>
      <c r="C740">
        <v>-9</v>
      </c>
    </row>
    <row r="741" spans="1:3" x14ac:dyDescent="0.25">
      <c r="A741" t="s">
        <v>1358</v>
      </c>
      <c r="B741" s="44">
        <v>2281.0909999999999</v>
      </c>
      <c r="C741">
        <v>-10</v>
      </c>
    </row>
    <row r="742" spans="1:3" x14ac:dyDescent="0.25">
      <c r="A742" t="s">
        <v>1359</v>
      </c>
      <c r="B742" s="44">
        <v>2548.2270000000003</v>
      </c>
      <c r="C742">
        <v>-11</v>
      </c>
    </row>
    <row r="743" spans="1:3" x14ac:dyDescent="0.25">
      <c r="A743" t="s">
        <v>1360</v>
      </c>
      <c r="B743" s="44">
        <v>2185.0889999999999</v>
      </c>
      <c r="C743">
        <v>-9</v>
      </c>
    </row>
    <row r="744" spans="1:3" x14ac:dyDescent="0.25">
      <c r="A744" t="s">
        <v>1361</v>
      </c>
      <c r="B744" s="44">
        <v>2379.1800000000003</v>
      </c>
      <c r="C744">
        <v>-10</v>
      </c>
    </row>
    <row r="745" spans="1:3" x14ac:dyDescent="0.25">
      <c r="A745" t="s">
        <v>1362</v>
      </c>
      <c r="B745" s="44">
        <v>2087</v>
      </c>
      <c r="C745">
        <v>-8</v>
      </c>
    </row>
    <row r="746" spans="1:3" x14ac:dyDescent="0.25">
      <c r="A746" t="s">
        <v>1363</v>
      </c>
      <c r="B746" s="44">
        <v>2087</v>
      </c>
      <c r="C746">
        <v>-8</v>
      </c>
    </row>
    <row r="747" spans="1:3" x14ac:dyDescent="0.25">
      <c r="A747" t="s">
        <v>1364</v>
      </c>
      <c r="B747" s="44">
        <v>2185.0889999999999</v>
      </c>
      <c r="C747">
        <v>-9</v>
      </c>
    </row>
    <row r="748" spans="1:3" x14ac:dyDescent="0.25">
      <c r="A748" t="s">
        <v>1365</v>
      </c>
      <c r="B748" s="44">
        <v>2185.0889999999999</v>
      </c>
      <c r="C748">
        <v>-9</v>
      </c>
    </row>
    <row r="749" spans="1:3" x14ac:dyDescent="0.25">
      <c r="A749" t="s">
        <v>1366</v>
      </c>
      <c r="B749" s="44">
        <v>2548.2270000000003</v>
      </c>
      <c r="C749">
        <v>-11</v>
      </c>
    </row>
    <row r="750" spans="1:3" x14ac:dyDescent="0.25">
      <c r="A750" t="s">
        <v>1367</v>
      </c>
      <c r="B750" s="44">
        <v>2281.0909999999999</v>
      </c>
      <c r="C750">
        <v>-9</v>
      </c>
    </row>
    <row r="751" spans="1:3" x14ac:dyDescent="0.25">
      <c r="A751" t="s">
        <v>1368</v>
      </c>
      <c r="B751" s="44">
        <v>2548.2270000000003</v>
      </c>
      <c r="C751">
        <v>-10</v>
      </c>
    </row>
    <row r="752" spans="1:3" x14ac:dyDescent="0.25">
      <c r="A752" t="s">
        <v>1369</v>
      </c>
      <c r="B752" s="44">
        <v>2087</v>
      </c>
      <c r="C752">
        <v>-8</v>
      </c>
    </row>
    <row r="753" spans="1:3" x14ac:dyDescent="0.25">
      <c r="A753" t="s">
        <v>1370</v>
      </c>
      <c r="B753" s="44">
        <v>2379.1800000000003</v>
      </c>
      <c r="C753">
        <v>-10</v>
      </c>
    </row>
    <row r="754" spans="1:3" x14ac:dyDescent="0.25">
      <c r="A754" t="s">
        <v>1371</v>
      </c>
      <c r="B754" s="44">
        <v>2087</v>
      </c>
      <c r="C754">
        <v>-8</v>
      </c>
    </row>
    <row r="755" spans="1:3" x14ac:dyDescent="0.25">
      <c r="A755" t="s">
        <v>1372</v>
      </c>
      <c r="B755" s="44">
        <v>2185.0889999999999</v>
      </c>
      <c r="C755">
        <v>-9</v>
      </c>
    </row>
    <row r="756" spans="1:3" x14ac:dyDescent="0.25">
      <c r="A756" t="s">
        <v>1373</v>
      </c>
      <c r="B756" s="44">
        <v>2379.1800000000003</v>
      </c>
      <c r="C756">
        <v>-10</v>
      </c>
    </row>
    <row r="757" spans="1:3" x14ac:dyDescent="0.25">
      <c r="A757" t="s">
        <v>1374</v>
      </c>
      <c r="B757" s="44">
        <v>2281.0909999999999</v>
      </c>
      <c r="C757">
        <v>-10</v>
      </c>
    </row>
    <row r="758" spans="1:3" x14ac:dyDescent="0.25">
      <c r="A758" t="s">
        <v>1375</v>
      </c>
      <c r="B758" s="44">
        <v>2087</v>
      </c>
      <c r="C758">
        <v>-8</v>
      </c>
    </row>
    <row r="759" spans="1:3" x14ac:dyDescent="0.25">
      <c r="A759" t="s">
        <v>1376</v>
      </c>
      <c r="B759" s="44">
        <v>2087</v>
      </c>
      <c r="C759">
        <v>-8</v>
      </c>
    </row>
    <row r="760" spans="1:3" x14ac:dyDescent="0.25">
      <c r="A760" t="s">
        <v>1377</v>
      </c>
      <c r="B760" s="44">
        <v>2087</v>
      </c>
      <c r="C760">
        <v>-8</v>
      </c>
    </row>
    <row r="761" spans="1:3" x14ac:dyDescent="0.25">
      <c r="A761" t="s">
        <v>1378</v>
      </c>
      <c r="B761" s="44">
        <v>2087</v>
      </c>
      <c r="C761">
        <v>-8</v>
      </c>
    </row>
    <row r="762" spans="1:3" x14ac:dyDescent="0.25">
      <c r="A762" t="s">
        <v>1379</v>
      </c>
      <c r="B762" s="44">
        <v>2087</v>
      </c>
      <c r="C762">
        <v>-8</v>
      </c>
    </row>
    <row r="763" spans="1:3" x14ac:dyDescent="0.25">
      <c r="A763" t="s">
        <v>1380</v>
      </c>
      <c r="B763" s="44">
        <v>2087</v>
      </c>
      <c r="C763">
        <v>-8</v>
      </c>
    </row>
    <row r="764" spans="1:3" x14ac:dyDescent="0.25">
      <c r="A764" t="s">
        <v>1381</v>
      </c>
      <c r="B764" s="44">
        <v>1988.9109999999998</v>
      </c>
      <c r="C764">
        <v>-8</v>
      </c>
    </row>
    <row r="765" spans="1:3" x14ac:dyDescent="0.25">
      <c r="A765" t="s">
        <v>1382</v>
      </c>
      <c r="B765" s="44">
        <v>2548.2270000000003</v>
      </c>
      <c r="C765">
        <v>-11</v>
      </c>
    </row>
    <row r="766" spans="1:3" x14ac:dyDescent="0.25">
      <c r="A766" t="s">
        <v>1383</v>
      </c>
      <c r="B766" s="44">
        <v>2087</v>
      </c>
      <c r="C766">
        <v>-9</v>
      </c>
    </row>
    <row r="767" spans="1:3" x14ac:dyDescent="0.25">
      <c r="A767" t="s">
        <v>1384</v>
      </c>
      <c r="B767" s="44">
        <v>2185.0889999999999</v>
      </c>
      <c r="C767">
        <v>-9</v>
      </c>
    </row>
    <row r="768" spans="1:3" x14ac:dyDescent="0.25">
      <c r="A768" t="s">
        <v>1385</v>
      </c>
      <c r="B768" s="44">
        <v>2185.0889999999999</v>
      </c>
      <c r="C768">
        <v>-9</v>
      </c>
    </row>
    <row r="769" spans="1:3" x14ac:dyDescent="0.25">
      <c r="A769" t="s">
        <v>1386</v>
      </c>
      <c r="B769" s="44">
        <v>2087</v>
      </c>
      <c r="C769">
        <v>-8</v>
      </c>
    </row>
    <row r="770" spans="1:3" x14ac:dyDescent="0.25">
      <c r="A770" t="s">
        <v>1387</v>
      </c>
      <c r="B770" s="44">
        <v>2281.0909999999999</v>
      </c>
      <c r="C770">
        <v>-9</v>
      </c>
    </row>
    <row r="771" spans="1:3" x14ac:dyDescent="0.25">
      <c r="A771" t="s">
        <v>1388</v>
      </c>
      <c r="B771" s="44">
        <v>2087</v>
      </c>
      <c r="C771">
        <v>-8</v>
      </c>
    </row>
    <row r="772" spans="1:3" x14ac:dyDescent="0.25">
      <c r="A772" t="s">
        <v>1389</v>
      </c>
      <c r="B772" s="44">
        <v>2185.0889999999999</v>
      </c>
      <c r="C772">
        <v>-8</v>
      </c>
    </row>
    <row r="773" spans="1:3" x14ac:dyDescent="0.25">
      <c r="A773" t="s">
        <v>1390</v>
      </c>
      <c r="B773" s="44">
        <v>2087</v>
      </c>
      <c r="C773">
        <v>-8</v>
      </c>
    </row>
    <row r="774" spans="1:3" x14ac:dyDescent="0.25">
      <c r="A774" t="s">
        <v>1391</v>
      </c>
      <c r="B774" s="44">
        <v>2087</v>
      </c>
      <c r="C774">
        <v>-8</v>
      </c>
    </row>
    <row r="775" spans="1:3" x14ac:dyDescent="0.25">
      <c r="A775" t="s">
        <v>1392</v>
      </c>
      <c r="B775" s="44">
        <v>1988.9109999999998</v>
      </c>
      <c r="C775">
        <v>-8</v>
      </c>
    </row>
    <row r="776" spans="1:3" x14ac:dyDescent="0.25">
      <c r="A776" t="s">
        <v>1393</v>
      </c>
      <c r="B776" s="44">
        <v>1988.9109999999998</v>
      </c>
      <c r="C776">
        <v>-8</v>
      </c>
    </row>
    <row r="777" spans="1:3" x14ac:dyDescent="0.25">
      <c r="A777" t="s">
        <v>1394</v>
      </c>
      <c r="B777" s="44">
        <v>2548.2270000000003</v>
      </c>
      <c r="C777">
        <v>-11</v>
      </c>
    </row>
    <row r="778" spans="1:3" x14ac:dyDescent="0.25">
      <c r="A778" t="s">
        <v>1395</v>
      </c>
      <c r="B778" s="44">
        <v>2185.0889999999999</v>
      </c>
      <c r="C778">
        <v>-9</v>
      </c>
    </row>
    <row r="779" spans="1:3" x14ac:dyDescent="0.25">
      <c r="A779" t="s">
        <v>1395</v>
      </c>
      <c r="B779" s="44">
        <v>2185.0889999999999</v>
      </c>
      <c r="C779">
        <v>-9</v>
      </c>
    </row>
    <row r="780" spans="1:3" x14ac:dyDescent="0.25">
      <c r="A780" t="s">
        <v>1396</v>
      </c>
      <c r="B780" s="44">
        <v>2281.0909999999999</v>
      </c>
      <c r="C780">
        <v>-10</v>
      </c>
    </row>
    <row r="781" spans="1:3" x14ac:dyDescent="0.25">
      <c r="A781" t="s">
        <v>1397</v>
      </c>
      <c r="B781" s="44">
        <v>2087</v>
      </c>
      <c r="C781">
        <v>-9</v>
      </c>
    </row>
    <row r="782" spans="1:3" x14ac:dyDescent="0.25">
      <c r="A782" t="s">
        <v>1398</v>
      </c>
      <c r="B782" s="44">
        <v>2087</v>
      </c>
      <c r="C782">
        <v>-9</v>
      </c>
    </row>
    <row r="783" spans="1:3" x14ac:dyDescent="0.25">
      <c r="A783" t="s">
        <v>1399</v>
      </c>
      <c r="B783" s="44">
        <v>2185.0889999999999</v>
      </c>
      <c r="C783">
        <v>-8</v>
      </c>
    </row>
    <row r="784" spans="1:3" x14ac:dyDescent="0.25">
      <c r="A784" t="s">
        <v>1400</v>
      </c>
      <c r="B784" s="44">
        <v>2087</v>
      </c>
      <c r="C784">
        <v>-8</v>
      </c>
    </row>
    <row r="785" spans="1:3" x14ac:dyDescent="0.25">
      <c r="A785" t="s">
        <v>1401</v>
      </c>
      <c r="B785" s="44">
        <v>1988.9109999999998</v>
      </c>
      <c r="C785">
        <v>-8</v>
      </c>
    </row>
    <row r="786" spans="1:3" x14ac:dyDescent="0.25">
      <c r="A786" t="s">
        <v>1402</v>
      </c>
      <c r="B786" s="44">
        <v>1988.9109999999998</v>
      </c>
      <c r="C786">
        <v>-8</v>
      </c>
    </row>
    <row r="787" spans="1:3" x14ac:dyDescent="0.25">
      <c r="A787" t="s">
        <v>1403</v>
      </c>
      <c r="B787" s="44">
        <v>2185.0889999999999</v>
      </c>
      <c r="C787">
        <v>-9</v>
      </c>
    </row>
    <row r="788" spans="1:3" x14ac:dyDescent="0.25">
      <c r="A788" t="s">
        <v>1404</v>
      </c>
      <c r="B788" s="44">
        <v>2087</v>
      </c>
      <c r="C788">
        <v>-8</v>
      </c>
    </row>
    <row r="789" spans="1:3" x14ac:dyDescent="0.25">
      <c r="A789" t="s">
        <v>1405</v>
      </c>
      <c r="B789" s="44">
        <v>2087</v>
      </c>
      <c r="C789">
        <v>-8</v>
      </c>
    </row>
    <row r="790" spans="1:3" x14ac:dyDescent="0.25">
      <c r="A790" t="s">
        <v>1406</v>
      </c>
      <c r="B790" s="44">
        <v>2185.0889999999999</v>
      </c>
      <c r="C790">
        <v>-9</v>
      </c>
    </row>
    <row r="791" spans="1:3" x14ac:dyDescent="0.25">
      <c r="A791" t="s">
        <v>1407</v>
      </c>
      <c r="B791" s="44">
        <v>2281.0909999999999</v>
      </c>
      <c r="C791">
        <v>-10</v>
      </c>
    </row>
    <row r="792" spans="1:3" x14ac:dyDescent="0.25">
      <c r="A792" t="s">
        <v>1408</v>
      </c>
      <c r="B792" s="44">
        <v>2185.0889999999999</v>
      </c>
      <c r="C792">
        <v>-9</v>
      </c>
    </row>
    <row r="793" spans="1:3" x14ac:dyDescent="0.25">
      <c r="A793" t="s">
        <v>1409</v>
      </c>
      <c r="B793" s="44">
        <v>2548.2270000000003</v>
      </c>
      <c r="C793">
        <v>-10</v>
      </c>
    </row>
    <row r="794" spans="1:3" x14ac:dyDescent="0.25">
      <c r="A794" t="s">
        <v>1410</v>
      </c>
      <c r="B794" s="44">
        <v>2281.0909999999999</v>
      </c>
      <c r="C794">
        <v>-9</v>
      </c>
    </row>
    <row r="795" spans="1:3" x14ac:dyDescent="0.25">
      <c r="A795" t="s">
        <v>1411</v>
      </c>
      <c r="B795" s="44">
        <v>2087</v>
      </c>
      <c r="C795">
        <v>-9</v>
      </c>
    </row>
    <row r="796" spans="1:3" x14ac:dyDescent="0.25">
      <c r="A796" t="s">
        <v>1412</v>
      </c>
      <c r="B796" s="44">
        <v>2281.0909999999999</v>
      </c>
      <c r="C796">
        <v>-10</v>
      </c>
    </row>
    <row r="797" spans="1:3" x14ac:dyDescent="0.25">
      <c r="A797" t="s">
        <v>1413</v>
      </c>
      <c r="B797" s="44">
        <v>2087</v>
      </c>
      <c r="C797">
        <v>-8</v>
      </c>
    </row>
    <row r="798" spans="1:3" x14ac:dyDescent="0.25">
      <c r="A798" t="s">
        <v>1414</v>
      </c>
      <c r="B798" s="44">
        <v>2087</v>
      </c>
      <c r="C798">
        <v>-8</v>
      </c>
    </row>
    <row r="799" spans="1:3" x14ac:dyDescent="0.25">
      <c r="A799" t="s">
        <v>1415</v>
      </c>
      <c r="B799" s="44">
        <v>2087</v>
      </c>
      <c r="C799">
        <v>-8</v>
      </c>
    </row>
    <row r="800" spans="1:3" x14ac:dyDescent="0.25">
      <c r="A800" t="s">
        <v>1416</v>
      </c>
      <c r="B800" s="44">
        <v>2087</v>
      </c>
      <c r="C800">
        <v>-8</v>
      </c>
    </row>
    <row r="801" spans="1:3" x14ac:dyDescent="0.25">
      <c r="A801" t="s">
        <v>1417</v>
      </c>
      <c r="B801" s="44">
        <v>2087</v>
      </c>
      <c r="C801">
        <v>-9</v>
      </c>
    </row>
    <row r="802" spans="1:3" x14ac:dyDescent="0.25">
      <c r="A802" t="s">
        <v>1418</v>
      </c>
      <c r="B802" s="44">
        <v>1892.9090000000001</v>
      </c>
      <c r="C802">
        <v>-8</v>
      </c>
    </row>
    <row r="803" spans="1:3" x14ac:dyDescent="0.25">
      <c r="A803" t="s">
        <v>1419</v>
      </c>
      <c r="B803" s="44">
        <v>1988.9109999999998</v>
      </c>
      <c r="C803">
        <v>-8</v>
      </c>
    </row>
    <row r="804" spans="1:3" x14ac:dyDescent="0.25">
      <c r="A804" t="s">
        <v>1420</v>
      </c>
      <c r="B804" s="44">
        <v>2087</v>
      </c>
      <c r="C804">
        <v>-8</v>
      </c>
    </row>
    <row r="805" spans="1:3" x14ac:dyDescent="0.25">
      <c r="A805" t="s">
        <v>1421</v>
      </c>
      <c r="B805" s="44">
        <v>1988.9109999999998</v>
      </c>
      <c r="C805">
        <v>-8</v>
      </c>
    </row>
    <row r="806" spans="1:3" x14ac:dyDescent="0.25">
      <c r="A806" t="s">
        <v>1422</v>
      </c>
      <c r="B806" s="44">
        <v>2185.0889999999999</v>
      </c>
      <c r="C806">
        <v>-9</v>
      </c>
    </row>
    <row r="807" spans="1:3" x14ac:dyDescent="0.25">
      <c r="A807" t="s">
        <v>1423</v>
      </c>
      <c r="B807" s="44">
        <v>2379.1800000000003</v>
      </c>
      <c r="C807">
        <v>-10</v>
      </c>
    </row>
    <row r="808" spans="1:3" x14ac:dyDescent="0.25">
      <c r="A808" t="s">
        <v>1424</v>
      </c>
      <c r="B808" s="44">
        <v>2087</v>
      </c>
      <c r="C808">
        <v>-9</v>
      </c>
    </row>
    <row r="809" spans="1:3" x14ac:dyDescent="0.25">
      <c r="A809" t="s">
        <v>1425</v>
      </c>
      <c r="B809" s="44">
        <v>1988.9109999999998</v>
      </c>
      <c r="C809">
        <v>-8</v>
      </c>
    </row>
    <row r="810" spans="1:3" x14ac:dyDescent="0.25">
      <c r="A810" t="s">
        <v>1426</v>
      </c>
      <c r="B810" s="44">
        <v>1988.9109999999998</v>
      </c>
      <c r="C810">
        <v>-8</v>
      </c>
    </row>
    <row r="811" spans="1:3" x14ac:dyDescent="0.25">
      <c r="A811" t="s">
        <v>1427</v>
      </c>
      <c r="B811" s="44">
        <v>2185.0889999999999</v>
      </c>
      <c r="C811">
        <v>-9</v>
      </c>
    </row>
    <row r="812" spans="1:3" x14ac:dyDescent="0.25">
      <c r="A812" t="s">
        <v>1428</v>
      </c>
      <c r="B812" s="44">
        <v>2087</v>
      </c>
      <c r="C812">
        <v>-9</v>
      </c>
    </row>
    <row r="813" spans="1:3" x14ac:dyDescent="0.25">
      <c r="A813" t="s">
        <v>1429</v>
      </c>
      <c r="B813" s="44">
        <v>2087</v>
      </c>
      <c r="C813">
        <v>-8</v>
      </c>
    </row>
    <row r="814" spans="1:3" x14ac:dyDescent="0.25">
      <c r="A814" t="s">
        <v>1430</v>
      </c>
      <c r="B814" s="44">
        <v>2087</v>
      </c>
      <c r="C814">
        <v>-8</v>
      </c>
    </row>
    <row r="815" spans="1:3" x14ac:dyDescent="0.25">
      <c r="A815" t="s">
        <v>1431</v>
      </c>
      <c r="B815" s="44">
        <v>2185.0889999999999</v>
      </c>
      <c r="C815">
        <v>-9</v>
      </c>
    </row>
    <row r="816" spans="1:3" x14ac:dyDescent="0.25">
      <c r="A816" t="s">
        <v>1432</v>
      </c>
      <c r="B816" s="44">
        <v>2185.0889999999999</v>
      </c>
      <c r="C816">
        <v>-9</v>
      </c>
    </row>
    <row r="817" spans="1:3" x14ac:dyDescent="0.25">
      <c r="A817" t="s">
        <v>1433</v>
      </c>
      <c r="B817" s="44">
        <v>2087</v>
      </c>
      <c r="C817">
        <v>-9</v>
      </c>
    </row>
    <row r="818" spans="1:3" x14ac:dyDescent="0.25">
      <c r="A818" t="s">
        <v>1434</v>
      </c>
      <c r="B818" s="44">
        <v>2185.0889999999999</v>
      </c>
      <c r="C818">
        <v>-8</v>
      </c>
    </row>
    <row r="819" spans="1:3" x14ac:dyDescent="0.25">
      <c r="A819" t="s">
        <v>1435</v>
      </c>
      <c r="B819" s="44">
        <v>2379.1800000000003</v>
      </c>
      <c r="C819">
        <v>-10</v>
      </c>
    </row>
    <row r="820" spans="1:3" x14ac:dyDescent="0.25">
      <c r="A820" t="s">
        <v>1436</v>
      </c>
      <c r="B820" s="44">
        <v>2185.0889999999999</v>
      </c>
      <c r="C820">
        <v>-9</v>
      </c>
    </row>
    <row r="821" spans="1:3" x14ac:dyDescent="0.25">
      <c r="A821" t="s">
        <v>1437</v>
      </c>
      <c r="B821" s="44">
        <v>2281.0909999999999</v>
      </c>
      <c r="C821">
        <v>-9</v>
      </c>
    </row>
    <row r="822" spans="1:3" x14ac:dyDescent="0.25">
      <c r="A822" t="s">
        <v>1438</v>
      </c>
      <c r="B822" s="44">
        <v>2087</v>
      </c>
      <c r="C822">
        <v>-8</v>
      </c>
    </row>
    <row r="823" spans="1:3" x14ac:dyDescent="0.25">
      <c r="A823" t="s">
        <v>1439</v>
      </c>
      <c r="B823" s="44">
        <v>2379.1800000000003</v>
      </c>
      <c r="C823">
        <v>-10</v>
      </c>
    </row>
    <row r="824" spans="1:3" x14ac:dyDescent="0.25">
      <c r="A824" t="s">
        <v>1440</v>
      </c>
      <c r="B824" s="44">
        <v>2087</v>
      </c>
      <c r="C824">
        <v>-8</v>
      </c>
    </row>
    <row r="825" spans="1:3" x14ac:dyDescent="0.25">
      <c r="A825" t="s">
        <v>1441</v>
      </c>
      <c r="B825" s="44">
        <v>2185.0889999999999</v>
      </c>
      <c r="C825">
        <v>-9</v>
      </c>
    </row>
    <row r="826" spans="1:3" x14ac:dyDescent="0.25">
      <c r="A826" t="s">
        <v>1442</v>
      </c>
      <c r="B826" s="44">
        <v>2281.0909999999999</v>
      </c>
      <c r="C826">
        <v>-10</v>
      </c>
    </row>
    <row r="827" spans="1:3" x14ac:dyDescent="0.25">
      <c r="A827" t="s">
        <v>1443</v>
      </c>
      <c r="B827" s="44">
        <v>2087</v>
      </c>
      <c r="C827">
        <v>-8</v>
      </c>
    </row>
    <row r="828" spans="1:3" x14ac:dyDescent="0.25">
      <c r="A828" t="s">
        <v>1444</v>
      </c>
      <c r="B828" s="44">
        <v>2379.1800000000003</v>
      </c>
      <c r="C828">
        <v>-10</v>
      </c>
    </row>
    <row r="829" spans="1:3" x14ac:dyDescent="0.25">
      <c r="A829" t="s">
        <v>1445</v>
      </c>
      <c r="B829" s="44">
        <v>2087</v>
      </c>
      <c r="C829">
        <v>-8</v>
      </c>
    </row>
    <row r="830" spans="1:3" x14ac:dyDescent="0.25">
      <c r="A830" t="s">
        <v>1446</v>
      </c>
      <c r="B830" s="44">
        <v>2379.1800000000003</v>
      </c>
      <c r="C830">
        <v>-10</v>
      </c>
    </row>
    <row r="831" spans="1:3" x14ac:dyDescent="0.25">
      <c r="A831" t="s">
        <v>1447</v>
      </c>
      <c r="B831" s="44">
        <v>1988.9109999999998</v>
      </c>
      <c r="C831">
        <v>-8</v>
      </c>
    </row>
    <row r="832" spans="1:3" x14ac:dyDescent="0.25">
      <c r="A832" t="s">
        <v>1448</v>
      </c>
      <c r="B832" s="44">
        <v>2087</v>
      </c>
      <c r="C832">
        <v>-8</v>
      </c>
    </row>
    <row r="833" spans="1:3" x14ac:dyDescent="0.25">
      <c r="A833" t="s">
        <v>1449</v>
      </c>
      <c r="B833" s="44">
        <v>2087</v>
      </c>
      <c r="C833">
        <v>-8</v>
      </c>
    </row>
    <row r="834" spans="1:3" x14ac:dyDescent="0.25">
      <c r="A834" t="s">
        <v>1450</v>
      </c>
      <c r="B834" s="44">
        <v>2087</v>
      </c>
      <c r="C834">
        <v>-8</v>
      </c>
    </row>
    <row r="835" spans="1:3" x14ac:dyDescent="0.25">
      <c r="A835" t="s">
        <v>1451</v>
      </c>
      <c r="B835" s="44">
        <v>2185.0889999999999</v>
      </c>
      <c r="C835">
        <v>-9</v>
      </c>
    </row>
    <row r="836" spans="1:3" x14ac:dyDescent="0.25">
      <c r="A836" t="s">
        <v>1452</v>
      </c>
      <c r="B836" s="44">
        <v>2087</v>
      </c>
      <c r="C836">
        <v>-8</v>
      </c>
    </row>
    <row r="837" spans="1:3" x14ac:dyDescent="0.25">
      <c r="A837" t="s">
        <v>1453</v>
      </c>
      <c r="B837" s="44">
        <v>1988.9109999999998</v>
      </c>
      <c r="C837">
        <v>-8</v>
      </c>
    </row>
    <row r="838" spans="1:3" x14ac:dyDescent="0.25">
      <c r="A838" t="s">
        <v>1454</v>
      </c>
      <c r="B838" s="44">
        <v>2281.0909999999999</v>
      </c>
      <c r="C838">
        <v>-9</v>
      </c>
    </row>
    <row r="839" spans="1:3" x14ac:dyDescent="0.25">
      <c r="A839" t="s">
        <v>1455</v>
      </c>
      <c r="B839" s="44">
        <v>2281.0909999999999</v>
      </c>
      <c r="C839">
        <v>-9</v>
      </c>
    </row>
    <row r="840" spans="1:3" x14ac:dyDescent="0.25">
      <c r="A840" t="s">
        <v>1456</v>
      </c>
      <c r="B840" s="44">
        <v>2185.0889999999999</v>
      </c>
      <c r="C840">
        <v>-9</v>
      </c>
    </row>
    <row r="841" spans="1:3" x14ac:dyDescent="0.25">
      <c r="A841" t="s">
        <v>1457</v>
      </c>
      <c r="B841" s="44">
        <v>2548.2270000000003</v>
      </c>
      <c r="C841">
        <v>-11</v>
      </c>
    </row>
    <row r="842" spans="1:3" x14ac:dyDescent="0.25">
      <c r="A842" t="s">
        <v>1458</v>
      </c>
      <c r="B842" s="44">
        <v>2185.0889999999999</v>
      </c>
      <c r="C842">
        <v>-9</v>
      </c>
    </row>
    <row r="843" spans="1:3" x14ac:dyDescent="0.25">
      <c r="A843" t="s">
        <v>1459</v>
      </c>
      <c r="B843" s="44">
        <v>2281.0909999999999</v>
      </c>
      <c r="C843">
        <v>-9</v>
      </c>
    </row>
    <row r="844" spans="1:3" x14ac:dyDescent="0.25">
      <c r="A844" t="s">
        <v>1460</v>
      </c>
      <c r="B844" s="44">
        <v>2185.0889999999999</v>
      </c>
      <c r="C844">
        <v>-9</v>
      </c>
    </row>
    <row r="845" spans="1:3" x14ac:dyDescent="0.25">
      <c r="A845" t="s">
        <v>1461</v>
      </c>
      <c r="B845" s="44">
        <v>2185.0889999999999</v>
      </c>
      <c r="C845">
        <v>-9</v>
      </c>
    </row>
    <row r="846" spans="1:3" x14ac:dyDescent="0.25">
      <c r="A846" t="s">
        <v>1462</v>
      </c>
      <c r="B846" s="44">
        <v>2548.2270000000003</v>
      </c>
      <c r="C846">
        <v>-11</v>
      </c>
    </row>
    <row r="847" spans="1:3" x14ac:dyDescent="0.25">
      <c r="A847" t="s">
        <v>1463</v>
      </c>
      <c r="B847" s="44">
        <v>1988.9109999999998</v>
      </c>
      <c r="C847">
        <v>-8</v>
      </c>
    </row>
    <row r="848" spans="1:3" x14ac:dyDescent="0.25">
      <c r="A848" t="s">
        <v>1464</v>
      </c>
      <c r="B848" s="44">
        <v>2185.0889999999999</v>
      </c>
      <c r="C848">
        <v>-9</v>
      </c>
    </row>
    <row r="849" spans="1:3" x14ac:dyDescent="0.25">
      <c r="A849" t="s">
        <v>1465</v>
      </c>
      <c r="B849" s="44">
        <v>2281.0909999999999</v>
      </c>
      <c r="C849">
        <v>-10</v>
      </c>
    </row>
    <row r="850" spans="1:3" x14ac:dyDescent="0.25">
      <c r="A850" t="s">
        <v>1466</v>
      </c>
      <c r="B850" s="44">
        <v>2185.0889999999999</v>
      </c>
      <c r="C850">
        <v>-9</v>
      </c>
    </row>
    <row r="851" spans="1:3" x14ac:dyDescent="0.25">
      <c r="A851" t="s">
        <v>1467</v>
      </c>
      <c r="B851" s="44">
        <v>2185.0889999999999</v>
      </c>
      <c r="C851">
        <v>-9</v>
      </c>
    </row>
    <row r="852" spans="1:3" x14ac:dyDescent="0.25">
      <c r="A852" t="s">
        <v>1468</v>
      </c>
      <c r="B852" s="44">
        <v>2087</v>
      </c>
      <c r="C852">
        <v>-9</v>
      </c>
    </row>
    <row r="853" spans="1:3" x14ac:dyDescent="0.25">
      <c r="A853" t="s">
        <v>1469</v>
      </c>
      <c r="B853" s="44">
        <v>2185.0889999999999</v>
      </c>
      <c r="C853">
        <v>-9</v>
      </c>
    </row>
    <row r="854" spans="1:3" x14ac:dyDescent="0.25">
      <c r="A854" t="s">
        <v>1470</v>
      </c>
      <c r="B854" s="44">
        <v>2548.2270000000003</v>
      </c>
      <c r="C854">
        <v>-11</v>
      </c>
    </row>
    <row r="855" spans="1:3" x14ac:dyDescent="0.25">
      <c r="A855" t="s">
        <v>1471</v>
      </c>
      <c r="B855" s="44">
        <v>2185.0889999999999</v>
      </c>
      <c r="C855">
        <v>-9</v>
      </c>
    </row>
    <row r="856" spans="1:3" x14ac:dyDescent="0.25">
      <c r="A856" t="s">
        <v>1472</v>
      </c>
      <c r="B856" s="44">
        <v>2087</v>
      </c>
      <c r="C856">
        <v>-8</v>
      </c>
    </row>
    <row r="857" spans="1:3" x14ac:dyDescent="0.25">
      <c r="A857" t="s">
        <v>1473</v>
      </c>
      <c r="B857" s="44">
        <v>2379.1800000000003</v>
      </c>
      <c r="C857">
        <v>-10</v>
      </c>
    </row>
    <row r="858" spans="1:3" x14ac:dyDescent="0.25">
      <c r="A858" t="s">
        <v>1474</v>
      </c>
      <c r="B858" s="44">
        <v>2379.1800000000003</v>
      </c>
      <c r="C858">
        <v>-10</v>
      </c>
    </row>
    <row r="859" spans="1:3" x14ac:dyDescent="0.25">
      <c r="A859" t="s">
        <v>1475</v>
      </c>
      <c r="B859" s="44">
        <v>2087</v>
      </c>
      <c r="C859">
        <v>-8</v>
      </c>
    </row>
    <row r="860" spans="1:3" x14ac:dyDescent="0.25">
      <c r="A860" t="s">
        <v>1476</v>
      </c>
      <c r="B860" s="44">
        <v>2281.0909999999999</v>
      </c>
      <c r="C860">
        <v>-9</v>
      </c>
    </row>
    <row r="861" spans="1:3" x14ac:dyDescent="0.25">
      <c r="A861" t="s">
        <v>1477</v>
      </c>
      <c r="B861" s="44">
        <v>2087</v>
      </c>
      <c r="C861">
        <v>-8</v>
      </c>
    </row>
    <row r="862" spans="1:3" x14ac:dyDescent="0.25">
      <c r="A862" t="s">
        <v>1478</v>
      </c>
      <c r="B862" s="44">
        <v>2790.319</v>
      </c>
      <c r="C862">
        <v>-11</v>
      </c>
    </row>
    <row r="863" spans="1:3" x14ac:dyDescent="0.25">
      <c r="A863" t="s">
        <v>1479</v>
      </c>
      <c r="B863" s="44">
        <v>2790.319</v>
      </c>
      <c r="C863">
        <v>-11</v>
      </c>
    </row>
    <row r="864" spans="1:3" x14ac:dyDescent="0.25">
      <c r="A864" t="s">
        <v>1480</v>
      </c>
      <c r="B864" s="44">
        <v>2087</v>
      </c>
      <c r="C864">
        <v>-8</v>
      </c>
    </row>
    <row r="865" spans="1:3" x14ac:dyDescent="0.25">
      <c r="A865" t="s">
        <v>1481</v>
      </c>
      <c r="B865" s="44">
        <v>2281.0909999999999</v>
      </c>
      <c r="C865">
        <v>-10</v>
      </c>
    </row>
    <row r="866" spans="1:3" x14ac:dyDescent="0.25">
      <c r="A866" t="s">
        <v>1482</v>
      </c>
      <c r="B866" s="44">
        <v>2087</v>
      </c>
      <c r="C866">
        <v>-8</v>
      </c>
    </row>
    <row r="867" spans="1:3" x14ac:dyDescent="0.25">
      <c r="A867" t="s">
        <v>1483</v>
      </c>
      <c r="B867" s="44">
        <v>1988.9109999999998</v>
      </c>
      <c r="C867">
        <v>-8</v>
      </c>
    </row>
    <row r="868" spans="1:3" x14ac:dyDescent="0.25">
      <c r="A868" t="s">
        <v>1484</v>
      </c>
      <c r="B868" s="44">
        <v>2087</v>
      </c>
      <c r="C868">
        <v>-8</v>
      </c>
    </row>
    <row r="869" spans="1:3" x14ac:dyDescent="0.25">
      <c r="A869" t="s">
        <v>1485</v>
      </c>
      <c r="B869" s="44">
        <v>2087</v>
      </c>
      <c r="C869">
        <v>-8</v>
      </c>
    </row>
    <row r="870" spans="1:3" x14ac:dyDescent="0.25">
      <c r="A870" t="s">
        <v>1486</v>
      </c>
      <c r="B870" s="44">
        <v>2087</v>
      </c>
      <c r="C870">
        <v>-8</v>
      </c>
    </row>
    <row r="871" spans="1:3" x14ac:dyDescent="0.25">
      <c r="A871" t="s">
        <v>1487</v>
      </c>
      <c r="B871" s="44">
        <v>2281.0909999999999</v>
      </c>
      <c r="C871">
        <v>-9</v>
      </c>
    </row>
    <row r="872" spans="1:3" x14ac:dyDescent="0.25">
      <c r="A872" t="s">
        <v>1488</v>
      </c>
      <c r="B872" s="44">
        <v>2087</v>
      </c>
      <c r="C872">
        <v>-9</v>
      </c>
    </row>
    <row r="873" spans="1:3" x14ac:dyDescent="0.25">
      <c r="A873" t="s">
        <v>1489</v>
      </c>
      <c r="B873" s="44">
        <v>2087</v>
      </c>
      <c r="C873">
        <v>-8</v>
      </c>
    </row>
    <row r="874" spans="1:3" x14ac:dyDescent="0.25">
      <c r="A874" t="s">
        <v>1490</v>
      </c>
      <c r="B874" s="44">
        <v>2087</v>
      </c>
      <c r="C874">
        <v>-8</v>
      </c>
    </row>
    <row r="875" spans="1:3" x14ac:dyDescent="0.25">
      <c r="A875" t="s">
        <v>1491</v>
      </c>
      <c r="B875" s="44">
        <v>2087</v>
      </c>
      <c r="C875">
        <v>-8</v>
      </c>
    </row>
    <row r="876" spans="1:3" x14ac:dyDescent="0.25">
      <c r="A876" t="s">
        <v>1492</v>
      </c>
      <c r="B876" s="44">
        <v>2790.319</v>
      </c>
      <c r="C876">
        <v>-11</v>
      </c>
    </row>
    <row r="877" spans="1:3" x14ac:dyDescent="0.25">
      <c r="A877" t="s">
        <v>1493</v>
      </c>
      <c r="B877" s="44">
        <v>2087</v>
      </c>
      <c r="C877">
        <v>-8</v>
      </c>
    </row>
    <row r="878" spans="1:3" x14ac:dyDescent="0.25">
      <c r="A878" t="s">
        <v>1494</v>
      </c>
      <c r="B878" s="44">
        <v>2087</v>
      </c>
      <c r="C878">
        <v>-8</v>
      </c>
    </row>
    <row r="879" spans="1:3" x14ac:dyDescent="0.25">
      <c r="A879" t="s">
        <v>1495</v>
      </c>
      <c r="B879" s="44">
        <v>2185.0889999999999</v>
      </c>
      <c r="C879">
        <v>-9</v>
      </c>
    </row>
    <row r="880" spans="1:3" x14ac:dyDescent="0.25">
      <c r="A880" t="s">
        <v>1496</v>
      </c>
      <c r="B880" s="44">
        <v>2087</v>
      </c>
      <c r="C880">
        <v>-8</v>
      </c>
    </row>
    <row r="881" spans="1:3" x14ac:dyDescent="0.25">
      <c r="A881" t="s">
        <v>1497</v>
      </c>
      <c r="B881" s="44">
        <v>2185.0889999999999</v>
      </c>
      <c r="C881">
        <v>-9</v>
      </c>
    </row>
    <row r="882" spans="1:3" x14ac:dyDescent="0.25">
      <c r="A882" t="s">
        <v>1498</v>
      </c>
      <c r="B882" s="44">
        <v>2548.2270000000003</v>
      </c>
      <c r="C882">
        <v>-10</v>
      </c>
    </row>
    <row r="883" spans="1:3" x14ac:dyDescent="0.25">
      <c r="A883" t="s">
        <v>1499</v>
      </c>
      <c r="B883" s="44">
        <v>2548.2270000000003</v>
      </c>
      <c r="C883">
        <v>-10</v>
      </c>
    </row>
    <row r="884" spans="1:3" x14ac:dyDescent="0.25">
      <c r="A884" t="s">
        <v>1500</v>
      </c>
      <c r="B884" s="44">
        <v>2087</v>
      </c>
      <c r="C884">
        <v>-8</v>
      </c>
    </row>
    <row r="885" spans="1:3" x14ac:dyDescent="0.25">
      <c r="A885" t="s">
        <v>1501</v>
      </c>
      <c r="B885" s="44">
        <v>2087</v>
      </c>
      <c r="C885">
        <v>-8</v>
      </c>
    </row>
    <row r="886" spans="1:3" x14ac:dyDescent="0.25">
      <c r="A886" t="s">
        <v>1502</v>
      </c>
      <c r="B886" s="44">
        <v>2548.2270000000003</v>
      </c>
      <c r="C886">
        <v>-11</v>
      </c>
    </row>
    <row r="887" spans="1:3" x14ac:dyDescent="0.25">
      <c r="A887" t="s">
        <v>1503</v>
      </c>
      <c r="B887" s="44">
        <v>1988.9109999999998</v>
      </c>
      <c r="C887">
        <v>-8</v>
      </c>
    </row>
    <row r="888" spans="1:3" x14ac:dyDescent="0.25">
      <c r="A888" t="s">
        <v>1504</v>
      </c>
      <c r="B888" s="44">
        <v>2087</v>
      </c>
      <c r="C888">
        <v>-8</v>
      </c>
    </row>
    <row r="889" spans="1:3" x14ac:dyDescent="0.25">
      <c r="A889" t="s">
        <v>1505</v>
      </c>
      <c r="B889" s="44">
        <v>1988.9109999999998</v>
      </c>
      <c r="C889">
        <v>-8</v>
      </c>
    </row>
    <row r="890" spans="1:3" x14ac:dyDescent="0.25">
      <c r="A890" t="s">
        <v>1506</v>
      </c>
      <c r="B890" s="44">
        <v>2087</v>
      </c>
      <c r="C890">
        <v>-8</v>
      </c>
    </row>
    <row r="891" spans="1:3" x14ac:dyDescent="0.25">
      <c r="A891" t="s">
        <v>1507</v>
      </c>
      <c r="B891" s="44">
        <v>1892.9090000000001</v>
      </c>
      <c r="C891">
        <v>-8</v>
      </c>
    </row>
    <row r="892" spans="1:3" x14ac:dyDescent="0.25">
      <c r="A892" t="s">
        <v>1508</v>
      </c>
      <c r="B892" s="44">
        <v>2087</v>
      </c>
      <c r="C892">
        <v>-8</v>
      </c>
    </row>
    <row r="893" spans="1:3" x14ac:dyDescent="0.25">
      <c r="A893" t="s">
        <v>1509</v>
      </c>
      <c r="B893" s="44">
        <v>2548.2270000000003</v>
      </c>
      <c r="C893">
        <v>-11</v>
      </c>
    </row>
    <row r="894" spans="1:3" x14ac:dyDescent="0.25">
      <c r="A894" t="s">
        <v>1510</v>
      </c>
      <c r="B894" s="44">
        <v>2548.2270000000003</v>
      </c>
      <c r="C894">
        <v>-11</v>
      </c>
    </row>
    <row r="895" spans="1:3" x14ac:dyDescent="0.25">
      <c r="A895" t="s">
        <v>1511</v>
      </c>
      <c r="B895" s="44">
        <v>2548.2270000000003</v>
      </c>
      <c r="C895">
        <v>-11</v>
      </c>
    </row>
    <row r="896" spans="1:3" x14ac:dyDescent="0.25">
      <c r="A896" t="s">
        <v>1512</v>
      </c>
      <c r="B896" s="44">
        <v>2379.1800000000003</v>
      </c>
      <c r="C896">
        <v>-10</v>
      </c>
    </row>
    <row r="897" spans="1:3" x14ac:dyDescent="0.25">
      <c r="A897" t="s">
        <v>1513</v>
      </c>
      <c r="B897" s="44">
        <v>2185.0889999999999</v>
      </c>
      <c r="C897">
        <v>-9</v>
      </c>
    </row>
    <row r="898" spans="1:3" x14ac:dyDescent="0.25">
      <c r="A898" t="s">
        <v>1514</v>
      </c>
      <c r="B898" s="44">
        <v>2548.2270000000003</v>
      </c>
      <c r="C898">
        <v>-11</v>
      </c>
    </row>
    <row r="899" spans="1:3" x14ac:dyDescent="0.25">
      <c r="A899" t="s">
        <v>1515</v>
      </c>
      <c r="B899" s="44">
        <v>2087</v>
      </c>
      <c r="C899">
        <v>-8</v>
      </c>
    </row>
    <row r="900" spans="1:3" x14ac:dyDescent="0.25">
      <c r="A900" t="s">
        <v>1516</v>
      </c>
      <c r="B900" s="44">
        <v>2281.0909999999999</v>
      </c>
      <c r="C900">
        <v>-9</v>
      </c>
    </row>
    <row r="901" spans="1:3" x14ac:dyDescent="0.25">
      <c r="A901" t="s">
        <v>1517</v>
      </c>
      <c r="B901" s="44">
        <v>2185.0889999999999</v>
      </c>
      <c r="C901">
        <v>-8</v>
      </c>
    </row>
    <row r="902" spans="1:3" x14ac:dyDescent="0.25">
      <c r="A902" t="s">
        <v>1518</v>
      </c>
      <c r="B902" s="44">
        <v>2185.0889999999999</v>
      </c>
      <c r="C902">
        <v>-8</v>
      </c>
    </row>
    <row r="903" spans="1:3" x14ac:dyDescent="0.25">
      <c r="A903" t="s">
        <v>1519</v>
      </c>
      <c r="B903" s="44">
        <v>2087</v>
      </c>
      <c r="C903">
        <v>-8</v>
      </c>
    </row>
    <row r="904" spans="1:3" x14ac:dyDescent="0.25">
      <c r="A904" t="s">
        <v>1520</v>
      </c>
      <c r="B904" s="44">
        <v>2087</v>
      </c>
      <c r="C904">
        <v>-8</v>
      </c>
    </row>
    <row r="905" spans="1:3" x14ac:dyDescent="0.25">
      <c r="A905" t="s">
        <v>1521</v>
      </c>
      <c r="B905" s="44">
        <v>2379.1800000000003</v>
      </c>
      <c r="C905">
        <v>-10</v>
      </c>
    </row>
    <row r="906" spans="1:3" x14ac:dyDescent="0.25">
      <c r="A906" t="s">
        <v>1522</v>
      </c>
      <c r="B906" s="44">
        <v>2087</v>
      </c>
      <c r="C906">
        <v>-9</v>
      </c>
    </row>
    <row r="907" spans="1:3" x14ac:dyDescent="0.25">
      <c r="A907" t="s">
        <v>1523</v>
      </c>
      <c r="B907" s="44">
        <v>2087</v>
      </c>
      <c r="C907">
        <v>-8</v>
      </c>
    </row>
    <row r="908" spans="1:3" x14ac:dyDescent="0.25">
      <c r="A908" t="s">
        <v>1524</v>
      </c>
      <c r="B908" s="44">
        <v>2087</v>
      </c>
      <c r="C908">
        <v>-8</v>
      </c>
    </row>
    <row r="909" spans="1:3" x14ac:dyDescent="0.25">
      <c r="A909" t="s">
        <v>1524</v>
      </c>
      <c r="B909" s="44">
        <v>2087</v>
      </c>
      <c r="C909">
        <v>-9</v>
      </c>
    </row>
    <row r="910" spans="1:3" x14ac:dyDescent="0.25">
      <c r="A910" t="s">
        <v>1525</v>
      </c>
      <c r="B910" s="44">
        <v>2087</v>
      </c>
      <c r="C910">
        <v>-8</v>
      </c>
    </row>
    <row r="911" spans="1:3" x14ac:dyDescent="0.25">
      <c r="A911" t="s">
        <v>1526</v>
      </c>
      <c r="B911" s="44">
        <v>2548.2270000000003</v>
      </c>
      <c r="C911">
        <v>-10</v>
      </c>
    </row>
    <row r="912" spans="1:3" x14ac:dyDescent="0.25">
      <c r="A912" t="s">
        <v>1527</v>
      </c>
      <c r="B912" s="44">
        <v>2548.2270000000003</v>
      </c>
      <c r="C912">
        <v>-10</v>
      </c>
    </row>
    <row r="913" spans="1:3" x14ac:dyDescent="0.25">
      <c r="A913" t="s">
        <v>1528</v>
      </c>
      <c r="B913" s="44">
        <v>2087</v>
      </c>
      <c r="C913">
        <v>-8</v>
      </c>
    </row>
    <row r="914" spans="1:3" x14ac:dyDescent="0.25">
      <c r="A914" t="s">
        <v>1529</v>
      </c>
      <c r="B914" s="44">
        <v>2281.0909999999999</v>
      </c>
      <c r="C914">
        <v>-9</v>
      </c>
    </row>
    <row r="915" spans="1:3" x14ac:dyDescent="0.25">
      <c r="A915" t="s">
        <v>1530</v>
      </c>
      <c r="B915" s="44">
        <v>2281.0909999999999</v>
      </c>
      <c r="C915">
        <v>-9</v>
      </c>
    </row>
    <row r="916" spans="1:3" x14ac:dyDescent="0.25">
      <c r="A916" t="s">
        <v>1531</v>
      </c>
      <c r="B916" s="44">
        <v>2087</v>
      </c>
      <c r="C916">
        <v>-9</v>
      </c>
    </row>
    <row r="917" spans="1:3" x14ac:dyDescent="0.25">
      <c r="A917" t="s">
        <v>1532</v>
      </c>
      <c r="B917" s="44">
        <v>2281.0909999999999</v>
      </c>
      <c r="C917">
        <v>-9</v>
      </c>
    </row>
    <row r="918" spans="1:3" x14ac:dyDescent="0.25">
      <c r="A918" t="s">
        <v>1533</v>
      </c>
      <c r="B918" s="44">
        <v>2185.0889999999999</v>
      </c>
      <c r="C918">
        <v>-9</v>
      </c>
    </row>
    <row r="919" spans="1:3" x14ac:dyDescent="0.25">
      <c r="A919" t="s">
        <v>1534</v>
      </c>
      <c r="B919" s="44">
        <v>2790.319</v>
      </c>
      <c r="C919">
        <v>-11</v>
      </c>
    </row>
    <row r="920" spans="1:3" x14ac:dyDescent="0.25">
      <c r="A920" t="s">
        <v>1535</v>
      </c>
      <c r="B920" s="44">
        <v>2087</v>
      </c>
      <c r="C920">
        <v>-8</v>
      </c>
    </row>
    <row r="921" spans="1:3" x14ac:dyDescent="0.25">
      <c r="A921" t="s">
        <v>1536</v>
      </c>
      <c r="B921" s="44">
        <v>1988.9109999999998</v>
      </c>
      <c r="C921">
        <v>-8</v>
      </c>
    </row>
    <row r="922" spans="1:3" x14ac:dyDescent="0.25">
      <c r="A922" t="s">
        <v>1536</v>
      </c>
      <c r="B922" s="44">
        <v>2087</v>
      </c>
      <c r="C922">
        <v>-8</v>
      </c>
    </row>
    <row r="923" spans="1:3" x14ac:dyDescent="0.25">
      <c r="A923" t="s">
        <v>1537</v>
      </c>
      <c r="B923" s="44">
        <v>2379.1800000000003</v>
      </c>
      <c r="C923">
        <v>-10</v>
      </c>
    </row>
    <row r="924" spans="1:3" x14ac:dyDescent="0.25">
      <c r="A924" t="s">
        <v>1538</v>
      </c>
      <c r="B924" s="44">
        <v>2281.0909999999999</v>
      </c>
      <c r="C924">
        <v>-10</v>
      </c>
    </row>
    <row r="925" spans="1:3" x14ac:dyDescent="0.25">
      <c r="A925" t="s">
        <v>1539</v>
      </c>
      <c r="B925" s="44">
        <v>2185.0889999999999</v>
      </c>
      <c r="C925">
        <v>-9</v>
      </c>
    </row>
    <row r="926" spans="1:3" x14ac:dyDescent="0.25">
      <c r="A926" t="s">
        <v>1540</v>
      </c>
      <c r="B926" s="44">
        <v>2185.0889999999999</v>
      </c>
      <c r="C926">
        <v>-9</v>
      </c>
    </row>
    <row r="927" spans="1:3" x14ac:dyDescent="0.25">
      <c r="A927" t="s">
        <v>1541</v>
      </c>
      <c r="B927" s="44">
        <v>2379.1800000000003</v>
      </c>
      <c r="C927">
        <v>-10</v>
      </c>
    </row>
    <row r="928" spans="1:3" x14ac:dyDescent="0.25">
      <c r="A928" t="s">
        <v>1542</v>
      </c>
      <c r="B928" s="44">
        <v>2548.2270000000003</v>
      </c>
      <c r="C928">
        <v>-10</v>
      </c>
    </row>
    <row r="929" spans="1:3" x14ac:dyDescent="0.25">
      <c r="A929" t="s">
        <v>1543</v>
      </c>
      <c r="B929" s="44">
        <v>1988.9109999999998</v>
      </c>
      <c r="C929">
        <v>-8</v>
      </c>
    </row>
    <row r="930" spans="1:3" x14ac:dyDescent="0.25">
      <c r="A930" t="s">
        <v>1544</v>
      </c>
      <c r="B930" s="44">
        <v>2185.0889999999999</v>
      </c>
      <c r="C930">
        <v>-9</v>
      </c>
    </row>
    <row r="931" spans="1:3" x14ac:dyDescent="0.25">
      <c r="A931" t="s">
        <v>1545</v>
      </c>
      <c r="B931" s="44">
        <v>2185.0889999999999</v>
      </c>
      <c r="C931">
        <v>-9</v>
      </c>
    </row>
    <row r="932" spans="1:3" x14ac:dyDescent="0.25">
      <c r="A932" t="s">
        <v>1546</v>
      </c>
      <c r="B932" s="44">
        <v>2087</v>
      </c>
      <c r="C932">
        <v>-9</v>
      </c>
    </row>
    <row r="933" spans="1:3" x14ac:dyDescent="0.25">
      <c r="A933" t="s">
        <v>1547</v>
      </c>
      <c r="B933" s="44">
        <v>2185.0889999999999</v>
      </c>
      <c r="C933">
        <v>-9</v>
      </c>
    </row>
    <row r="934" spans="1:3" x14ac:dyDescent="0.25">
      <c r="A934" t="s">
        <v>1548</v>
      </c>
      <c r="B934" s="44">
        <v>1988.9109999999998</v>
      </c>
      <c r="C934">
        <v>-8</v>
      </c>
    </row>
    <row r="935" spans="1:3" x14ac:dyDescent="0.25">
      <c r="A935" t="s">
        <v>1549</v>
      </c>
      <c r="B935" s="44">
        <v>2185.0889999999999</v>
      </c>
      <c r="C935">
        <v>-9</v>
      </c>
    </row>
    <row r="936" spans="1:3" x14ac:dyDescent="0.25">
      <c r="A936" t="s">
        <v>1550</v>
      </c>
      <c r="B936" s="44">
        <v>2281.0909999999999</v>
      </c>
      <c r="C936">
        <v>-10</v>
      </c>
    </row>
    <row r="937" spans="1:3" x14ac:dyDescent="0.25">
      <c r="A937" t="s">
        <v>1551</v>
      </c>
      <c r="B937" s="44">
        <v>2281.0909999999999</v>
      </c>
      <c r="C937">
        <v>-9</v>
      </c>
    </row>
    <row r="938" spans="1:3" x14ac:dyDescent="0.25">
      <c r="A938" t="s">
        <v>1552</v>
      </c>
      <c r="B938" s="44">
        <v>2087</v>
      </c>
      <c r="C938">
        <v>-8</v>
      </c>
    </row>
    <row r="939" spans="1:3" x14ac:dyDescent="0.25">
      <c r="A939" t="s">
        <v>1553</v>
      </c>
      <c r="B939" s="44">
        <v>1988.9109999999998</v>
      </c>
      <c r="C939">
        <v>-8</v>
      </c>
    </row>
    <row r="940" spans="1:3" x14ac:dyDescent="0.25">
      <c r="A940" t="s">
        <v>1554</v>
      </c>
      <c r="B940" s="44">
        <v>2087</v>
      </c>
      <c r="C940">
        <v>-8</v>
      </c>
    </row>
    <row r="941" spans="1:3" x14ac:dyDescent="0.25">
      <c r="A941" t="s">
        <v>1554</v>
      </c>
      <c r="B941" s="44">
        <v>2087</v>
      </c>
      <c r="C941">
        <v>-8</v>
      </c>
    </row>
    <row r="942" spans="1:3" x14ac:dyDescent="0.25">
      <c r="A942" t="s">
        <v>1554</v>
      </c>
      <c r="B942" s="44">
        <v>1988.9109999999998</v>
      </c>
      <c r="C942">
        <v>-8</v>
      </c>
    </row>
    <row r="943" spans="1:3" x14ac:dyDescent="0.25">
      <c r="A943" t="s">
        <v>1555</v>
      </c>
      <c r="B943" s="44">
        <v>2379.1800000000003</v>
      </c>
      <c r="C943">
        <v>-10</v>
      </c>
    </row>
    <row r="944" spans="1:3" x14ac:dyDescent="0.25">
      <c r="A944" t="s">
        <v>1556</v>
      </c>
      <c r="B944" s="44">
        <v>2185.0889999999999</v>
      </c>
      <c r="C944">
        <v>-8</v>
      </c>
    </row>
    <row r="945" spans="1:3" x14ac:dyDescent="0.25">
      <c r="A945" t="s">
        <v>1557</v>
      </c>
      <c r="B945" s="44">
        <v>2379.1800000000003</v>
      </c>
      <c r="C945">
        <v>-10</v>
      </c>
    </row>
    <row r="946" spans="1:3" x14ac:dyDescent="0.25">
      <c r="A946" t="s">
        <v>1558</v>
      </c>
      <c r="B946" s="44">
        <v>2379.1800000000003</v>
      </c>
      <c r="C946">
        <v>-10</v>
      </c>
    </row>
    <row r="947" spans="1:3" x14ac:dyDescent="0.25">
      <c r="A947" t="s">
        <v>1559</v>
      </c>
      <c r="B947" s="44">
        <v>2379.1800000000003</v>
      </c>
      <c r="C947">
        <v>-10</v>
      </c>
    </row>
    <row r="948" spans="1:3" x14ac:dyDescent="0.25">
      <c r="A948" t="s">
        <v>1560</v>
      </c>
      <c r="B948" s="44">
        <v>2185.0889999999999</v>
      </c>
      <c r="C948">
        <v>-8</v>
      </c>
    </row>
    <row r="949" spans="1:3" x14ac:dyDescent="0.25">
      <c r="A949" t="s">
        <v>1561</v>
      </c>
      <c r="B949" s="44">
        <v>2379.1800000000003</v>
      </c>
      <c r="C949">
        <v>-10</v>
      </c>
    </row>
    <row r="950" spans="1:3" x14ac:dyDescent="0.25">
      <c r="A950" t="s">
        <v>1562</v>
      </c>
      <c r="B950" s="44">
        <v>2087</v>
      </c>
      <c r="C950">
        <v>-8</v>
      </c>
    </row>
    <row r="951" spans="1:3" x14ac:dyDescent="0.25">
      <c r="A951" t="s">
        <v>1563</v>
      </c>
      <c r="B951" s="44">
        <v>2281.0909999999999</v>
      </c>
      <c r="C951">
        <v>-10</v>
      </c>
    </row>
    <row r="952" spans="1:3" x14ac:dyDescent="0.25">
      <c r="A952" t="s">
        <v>1564</v>
      </c>
      <c r="B952" s="44">
        <v>2281.0909999999999</v>
      </c>
      <c r="C952">
        <v>-10</v>
      </c>
    </row>
    <row r="953" spans="1:3" x14ac:dyDescent="0.25">
      <c r="A953" t="s">
        <v>1565</v>
      </c>
      <c r="B953" s="44">
        <v>2379.1800000000003</v>
      </c>
      <c r="C953">
        <v>-10</v>
      </c>
    </row>
    <row r="954" spans="1:3" x14ac:dyDescent="0.25">
      <c r="A954" t="s">
        <v>1566</v>
      </c>
      <c r="B954" s="44">
        <v>2548.2270000000003</v>
      </c>
      <c r="C954">
        <v>-11</v>
      </c>
    </row>
    <row r="955" spans="1:3" x14ac:dyDescent="0.25">
      <c r="A955" t="s">
        <v>1567</v>
      </c>
      <c r="B955" s="44">
        <v>2185.0889999999999</v>
      </c>
      <c r="C955">
        <v>-8</v>
      </c>
    </row>
    <row r="956" spans="1:3" x14ac:dyDescent="0.25">
      <c r="A956" t="s">
        <v>1568</v>
      </c>
      <c r="B956" s="44">
        <v>2379.1800000000003</v>
      </c>
      <c r="C956">
        <v>-10</v>
      </c>
    </row>
    <row r="957" spans="1:3" x14ac:dyDescent="0.25">
      <c r="A957" t="s">
        <v>1569</v>
      </c>
      <c r="B957" s="44">
        <v>2548.2270000000003</v>
      </c>
      <c r="C957">
        <v>-11</v>
      </c>
    </row>
    <row r="958" spans="1:3" x14ac:dyDescent="0.25">
      <c r="A958" t="s">
        <v>1570</v>
      </c>
      <c r="B958" s="44">
        <v>2281.0909999999999</v>
      </c>
      <c r="C958">
        <v>-10</v>
      </c>
    </row>
    <row r="959" spans="1:3" x14ac:dyDescent="0.25">
      <c r="A959" t="s">
        <v>1571</v>
      </c>
      <c r="B959" s="44">
        <v>2087</v>
      </c>
      <c r="C959">
        <v>-8</v>
      </c>
    </row>
    <row r="960" spans="1:3" x14ac:dyDescent="0.25">
      <c r="A960" t="s">
        <v>1572</v>
      </c>
      <c r="B960" s="44">
        <v>2087</v>
      </c>
      <c r="C960">
        <v>-8</v>
      </c>
    </row>
    <row r="961" spans="1:3" x14ac:dyDescent="0.25">
      <c r="A961" t="s">
        <v>1573</v>
      </c>
      <c r="B961" s="44">
        <v>2185.0889999999999</v>
      </c>
      <c r="C961">
        <v>-9</v>
      </c>
    </row>
    <row r="962" spans="1:3" x14ac:dyDescent="0.25">
      <c r="A962" t="s">
        <v>1574</v>
      </c>
      <c r="B962" s="44">
        <v>2281.0909999999999</v>
      </c>
      <c r="C962">
        <v>-10</v>
      </c>
    </row>
    <row r="963" spans="1:3" x14ac:dyDescent="0.25">
      <c r="A963" t="s">
        <v>1575</v>
      </c>
      <c r="B963" s="44">
        <v>2087</v>
      </c>
      <c r="C963">
        <v>-8</v>
      </c>
    </row>
    <row r="964" spans="1:3" x14ac:dyDescent="0.25">
      <c r="A964" t="s">
        <v>1576</v>
      </c>
      <c r="B964" s="44">
        <v>2185.0889999999999</v>
      </c>
      <c r="C964">
        <v>-8</v>
      </c>
    </row>
    <row r="965" spans="1:3" x14ac:dyDescent="0.25">
      <c r="A965" t="s">
        <v>1577</v>
      </c>
      <c r="B965" s="44">
        <v>2185.0889999999999</v>
      </c>
      <c r="C965">
        <v>-9</v>
      </c>
    </row>
    <row r="966" spans="1:3" x14ac:dyDescent="0.25">
      <c r="A966" t="s">
        <v>1578</v>
      </c>
      <c r="B966" s="44">
        <v>2185.0889999999999</v>
      </c>
      <c r="C966">
        <v>-9</v>
      </c>
    </row>
    <row r="967" spans="1:3" x14ac:dyDescent="0.25">
      <c r="A967" t="s">
        <v>1579</v>
      </c>
      <c r="B967" s="44">
        <v>2379.1800000000003</v>
      </c>
      <c r="C967">
        <v>-10</v>
      </c>
    </row>
    <row r="968" spans="1:3" x14ac:dyDescent="0.25">
      <c r="A968" t="s">
        <v>1580</v>
      </c>
      <c r="B968" s="44">
        <v>2087</v>
      </c>
      <c r="C968">
        <v>-8</v>
      </c>
    </row>
    <row r="969" spans="1:3" x14ac:dyDescent="0.25">
      <c r="A969" t="s">
        <v>1581</v>
      </c>
      <c r="B969" s="44">
        <v>2185.0889999999999</v>
      </c>
      <c r="C969">
        <v>-8</v>
      </c>
    </row>
    <row r="970" spans="1:3" x14ac:dyDescent="0.25">
      <c r="A970" t="s">
        <v>1582</v>
      </c>
      <c r="B970" s="44">
        <v>1988.9109999999998</v>
      </c>
      <c r="C970">
        <v>-8</v>
      </c>
    </row>
    <row r="971" spans="1:3" x14ac:dyDescent="0.25">
      <c r="A971" t="s">
        <v>1583</v>
      </c>
      <c r="B971" s="44">
        <v>1988.9109999999998</v>
      </c>
      <c r="C971">
        <v>-8</v>
      </c>
    </row>
    <row r="972" spans="1:3" x14ac:dyDescent="0.25">
      <c r="A972" t="s">
        <v>1584</v>
      </c>
      <c r="B972" s="44">
        <v>2087</v>
      </c>
      <c r="C972">
        <v>-8</v>
      </c>
    </row>
    <row r="973" spans="1:3" x14ac:dyDescent="0.25">
      <c r="A973" t="s">
        <v>1585</v>
      </c>
      <c r="B973" s="44">
        <v>1988.9109999999998</v>
      </c>
      <c r="C973">
        <v>-8</v>
      </c>
    </row>
    <row r="974" spans="1:3" x14ac:dyDescent="0.25">
      <c r="A974" t="s">
        <v>1586</v>
      </c>
      <c r="B974" s="44">
        <v>2548.2270000000003</v>
      </c>
      <c r="C974">
        <v>-11</v>
      </c>
    </row>
    <row r="975" spans="1:3" x14ac:dyDescent="0.25">
      <c r="A975" t="s">
        <v>1587</v>
      </c>
      <c r="B975" s="44">
        <v>2087</v>
      </c>
      <c r="C975">
        <v>-8</v>
      </c>
    </row>
    <row r="976" spans="1:3" x14ac:dyDescent="0.25">
      <c r="A976" t="s">
        <v>1588</v>
      </c>
      <c r="B976" s="44">
        <v>1892.9090000000001</v>
      </c>
      <c r="C976">
        <v>-7</v>
      </c>
    </row>
    <row r="977" spans="1:3" x14ac:dyDescent="0.25">
      <c r="A977" t="s">
        <v>1589</v>
      </c>
      <c r="B977" s="44">
        <v>2087</v>
      </c>
      <c r="C977">
        <v>-8</v>
      </c>
    </row>
    <row r="978" spans="1:3" x14ac:dyDescent="0.25">
      <c r="A978" t="s">
        <v>1590</v>
      </c>
      <c r="B978" s="44">
        <v>2087</v>
      </c>
      <c r="C978">
        <v>-8</v>
      </c>
    </row>
    <row r="979" spans="1:3" x14ac:dyDescent="0.25">
      <c r="A979" t="s">
        <v>1591</v>
      </c>
      <c r="B979" s="44">
        <v>2087</v>
      </c>
      <c r="C979">
        <v>-9</v>
      </c>
    </row>
    <row r="980" spans="1:3" x14ac:dyDescent="0.25">
      <c r="A980" t="s">
        <v>1592</v>
      </c>
      <c r="B980" s="44">
        <v>2087</v>
      </c>
      <c r="C980">
        <v>-8</v>
      </c>
    </row>
    <row r="981" spans="1:3" x14ac:dyDescent="0.25">
      <c r="A981" t="s">
        <v>1593</v>
      </c>
      <c r="B981" s="44">
        <v>2087</v>
      </c>
      <c r="C981">
        <v>-8</v>
      </c>
    </row>
    <row r="982" spans="1:3" x14ac:dyDescent="0.25">
      <c r="A982" t="s">
        <v>1594</v>
      </c>
      <c r="B982" s="44">
        <v>2087</v>
      </c>
      <c r="C982">
        <v>-8</v>
      </c>
    </row>
    <row r="983" spans="1:3" x14ac:dyDescent="0.25">
      <c r="A983" t="s">
        <v>1595</v>
      </c>
      <c r="B983" s="44">
        <v>2087</v>
      </c>
      <c r="C983">
        <v>-8</v>
      </c>
    </row>
    <row r="984" spans="1:3" x14ac:dyDescent="0.25">
      <c r="A984" t="s">
        <v>1596</v>
      </c>
      <c r="B984" s="44">
        <v>2087</v>
      </c>
      <c r="C984">
        <v>-8</v>
      </c>
    </row>
    <row r="985" spans="1:3" x14ac:dyDescent="0.25">
      <c r="A985" t="s">
        <v>1597</v>
      </c>
      <c r="B985" s="44">
        <v>2087</v>
      </c>
      <c r="C985">
        <v>-8</v>
      </c>
    </row>
    <row r="986" spans="1:3" x14ac:dyDescent="0.25">
      <c r="A986" t="s">
        <v>1598</v>
      </c>
      <c r="B986" s="44">
        <v>1988.9109999999998</v>
      </c>
      <c r="C986">
        <v>-8</v>
      </c>
    </row>
    <row r="987" spans="1:3" x14ac:dyDescent="0.25">
      <c r="A987" t="s">
        <v>1599</v>
      </c>
      <c r="B987" s="44">
        <v>2185.0889999999999</v>
      </c>
      <c r="C987">
        <v>-9</v>
      </c>
    </row>
    <row r="988" spans="1:3" x14ac:dyDescent="0.25">
      <c r="A988" t="s">
        <v>1599</v>
      </c>
      <c r="B988" s="44">
        <v>2281.0909999999999</v>
      </c>
      <c r="C988">
        <v>-9</v>
      </c>
    </row>
    <row r="989" spans="1:3" x14ac:dyDescent="0.25">
      <c r="A989" t="s">
        <v>1600</v>
      </c>
      <c r="B989" s="44">
        <v>2087</v>
      </c>
      <c r="C989">
        <v>-8</v>
      </c>
    </row>
    <row r="990" spans="1:3" x14ac:dyDescent="0.25">
      <c r="A990" t="s">
        <v>1601</v>
      </c>
      <c r="B990" s="44">
        <v>2087</v>
      </c>
      <c r="C990">
        <v>-8</v>
      </c>
    </row>
    <row r="991" spans="1:3" x14ac:dyDescent="0.25">
      <c r="A991" t="s">
        <v>1602</v>
      </c>
      <c r="B991" s="44">
        <v>2087</v>
      </c>
      <c r="C991">
        <v>-8</v>
      </c>
    </row>
    <row r="992" spans="1:3" x14ac:dyDescent="0.25">
      <c r="A992" t="s">
        <v>1603</v>
      </c>
      <c r="B992" s="44">
        <v>2379.1800000000003</v>
      </c>
      <c r="C992">
        <v>-10</v>
      </c>
    </row>
    <row r="993" spans="1:3" x14ac:dyDescent="0.25">
      <c r="A993" t="s">
        <v>1604</v>
      </c>
      <c r="B993" s="44">
        <v>2087</v>
      </c>
      <c r="C993">
        <v>-8</v>
      </c>
    </row>
    <row r="994" spans="1:3" x14ac:dyDescent="0.25">
      <c r="A994" t="s">
        <v>1605</v>
      </c>
      <c r="B994" s="44">
        <v>2087</v>
      </c>
      <c r="C994">
        <v>-8</v>
      </c>
    </row>
    <row r="995" spans="1:3" x14ac:dyDescent="0.25">
      <c r="A995" t="s">
        <v>1606</v>
      </c>
      <c r="B995" s="44">
        <v>2087</v>
      </c>
      <c r="C995">
        <v>-9</v>
      </c>
    </row>
    <row r="996" spans="1:3" x14ac:dyDescent="0.25">
      <c r="A996" t="s">
        <v>1607</v>
      </c>
      <c r="B996" s="44">
        <v>2961.453</v>
      </c>
      <c r="C996">
        <v>-11</v>
      </c>
    </row>
    <row r="997" spans="1:3" x14ac:dyDescent="0.25">
      <c r="A997" t="s">
        <v>1608</v>
      </c>
      <c r="B997" s="44">
        <v>2185.0889999999999</v>
      </c>
      <c r="C997">
        <v>-9</v>
      </c>
    </row>
    <row r="998" spans="1:3" x14ac:dyDescent="0.25">
      <c r="A998" t="s">
        <v>1609</v>
      </c>
      <c r="B998" s="44">
        <v>2790.319</v>
      </c>
      <c r="C998">
        <v>-10</v>
      </c>
    </row>
    <row r="999" spans="1:3" x14ac:dyDescent="0.25">
      <c r="A999" t="s">
        <v>1610</v>
      </c>
      <c r="B999" s="44">
        <v>2087</v>
      </c>
      <c r="C999">
        <v>-8</v>
      </c>
    </row>
    <row r="1000" spans="1:3" x14ac:dyDescent="0.25">
      <c r="A1000" t="s">
        <v>1611</v>
      </c>
      <c r="B1000" s="44">
        <v>2087</v>
      </c>
      <c r="C1000">
        <v>-8</v>
      </c>
    </row>
    <row r="1001" spans="1:3" x14ac:dyDescent="0.25">
      <c r="A1001" t="s">
        <v>1612</v>
      </c>
      <c r="B1001" s="44">
        <v>1988.9109999999998</v>
      </c>
      <c r="C1001">
        <v>-8</v>
      </c>
    </row>
    <row r="1002" spans="1:3" x14ac:dyDescent="0.25">
      <c r="A1002" t="s">
        <v>1613</v>
      </c>
      <c r="B1002" s="44">
        <v>2087</v>
      </c>
      <c r="C1002">
        <v>-8</v>
      </c>
    </row>
    <row r="1003" spans="1:3" x14ac:dyDescent="0.25">
      <c r="A1003" t="s">
        <v>1614</v>
      </c>
      <c r="B1003" s="44">
        <v>2087</v>
      </c>
      <c r="C1003">
        <v>-9</v>
      </c>
    </row>
    <row r="1004" spans="1:3" x14ac:dyDescent="0.25">
      <c r="A1004" t="s">
        <v>1615</v>
      </c>
      <c r="B1004" s="44">
        <v>2087</v>
      </c>
      <c r="C1004">
        <v>-9</v>
      </c>
    </row>
    <row r="1005" spans="1:3" x14ac:dyDescent="0.25">
      <c r="A1005" t="s">
        <v>1616</v>
      </c>
      <c r="B1005" s="44">
        <v>2087</v>
      </c>
      <c r="C1005">
        <v>-8</v>
      </c>
    </row>
    <row r="1006" spans="1:3" x14ac:dyDescent="0.25">
      <c r="A1006" t="s">
        <v>1617</v>
      </c>
      <c r="B1006" s="44">
        <v>2379.1800000000003</v>
      </c>
      <c r="C1006">
        <v>-10</v>
      </c>
    </row>
    <row r="1007" spans="1:3" x14ac:dyDescent="0.25">
      <c r="A1007" t="s">
        <v>1618</v>
      </c>
      <c r="B1007" s="44">
        <v>2087</v>
      </c>
      <c r="C1007">
        <v>-8</v>
      </c>
    </row>
    <row r="1008" spans="1:3" x14ac:dyDescent="0.25">
      <c r="A1008" t="s">
        <v>1619</v>
      </c>
      <c r="B1008" s="44">
        <v>2087</v>
      </c>
      <c r="C1008">
        <v>-9</v>
      </c>
    </row>
    <row r="1009" spans="1:3" x14ac:dyDescent="0.25">
      <c r="A1009" t="s">
        <v>1620</v>
      </c>
      <c r="B1009" s="44">
        <v>2281.0909999999999</v>
      </c>
      <c r="C1009">
        <v>-9</v>
      </c>
    </row>
    <row r="1010" spans="1:3" x14ac:dyDescent="0.25">
      <c r="A1010" t="s">
        <v>1621</v>
      </c>
      <c r="B1010" s="44">
        <v>2281.0909999999999</v>
      </c>
      <c r="C1010">
        <v>-9</v>
      </c>
    </row>
    <row r="1011" spans="1:3" x14ac:dyDescent="0.25">
      <c r="A1011" t="s">
        <v>1622</v>
      </c>
      <c r="B1011" s="44">
        <v>2185.0889999999999</v>
      </c>
      <c r="C1011">
        <v>-8</v>
      </c>
    </row>
    <row r="1012" spans="1:3" x14ac:dyDescent="0.25">
      <c r="A1012" t="s">
        <v>1623</v>
      </c>
      <c r="B1012" s="44">
        <v>2087</v>
      </c>
      <c r="C1012">
        <v>-8</v>
      </c>
    </row>
    <row r="1013" spans="1:3" x14ac:dyDescent="0.25">
      <c r="A1013" t="s">
        <v>1624</v>
      </c>
      <c r="B1013" s="44">
        <v>2379.1800000000003</v>
      </c>
      <c r="C1013">
        <v>-10</v>
      </c>
    </row>
    <row r="1014" spans="1:3" x14ac:dyDescent="0.25">
      <c r="A1014" t="s">
        <v>1625</v>
      </c>
      <c r="B1014" s="44">
        <v>2087</v>
      </c>
      <c r="C1014">
        <v>-8</v>
      </c>
    </row>
    <row r="1015" spans="1:3" x14ac:dyDescent="0.25">
      <c r="A1015" t="s">
        <v>1626</v>
      </c>
      <c r="B1015" s="44">
        <v>2185.0889999999999</v>
      </c>
      <c r="C1015">
        <v>-9</v>
      </c>
    </row>
    <row r="1016" spans="1:3" x14ac:dyDescent="0.25">
      <c r="A1016" t="s">
        <v>1627</v>
      </c>
      <c r="B1016" s="44">
        <v>2087</v>
      </c>
      <c r="C1016">
        <v>-8</v>
      </c>
    </row>
    <row r="1017" spans="1:3" x14ac:dyDescent="0.25">
      <c r="A1017" t="s">
        <v>1628</v>
      </c>
      <c r="B1017" s="44">
        <v>1988.9109999999998</v>
      </c>
      <c r="C1017">
        <v>-8</v>
      </c>
    </row>
    <row r="1018" spans="1:3" x14ac:dyDescent="0.25">
      <c r="A1018" t="s">
        <v>1629</v>
      </c>
      <c r="B1018" s="44">
        <v>2087</v>
      </c>
      <c r="C1018">
        <v>-9</v>
      </c>
    </row>
    <row r="1019" spans="1:3" x14ac:dyDescent="0.25">
      <c r="A1019" t="s">
        <v>1630</v>
      </c>
      <c r="B1019" s="44">
        <v>2281.0909999999999</v>
      </c>
      <c r="C1019">
        <v>-9</v>
      </c>
    </row>
    <row r="1020" spans="1:3" x14ac:dyDescent="0.25">
      <c r="A1020" t="s">
        <v>1631</v>
      </c>
      <c r="B1020" s="44">
        <v>2185.0889999999999</v>
      </c>
      <c r="C1020">
        <v>-8</v>
      </c>
    </row>
    <row r="1021" spans="1:3" x14ac:dyDescent="0.25">
      <c r="A1021" t="s">
        <v>1632</v>
      </c>
      <c r="B1021" s="44">
        <v>2087</v>
      </c>
      <c r="C1021">
        <v>-8</v>
      </c>
    </row>
    <row r="1022" spans="1:3" x14ac:dyDescent="0.25">
      <c r="A1022" t="s">
        <v>1633</v>
      </c>
      <c r="B1022" s="44">
        <v>2087</v>
      </c>
      <c r="C1022">
        <v>-8</v>
      </c>
    </row>
    <row r="1023" spans="1:3" x14ac:dyDescent="0.25">
      <c r="A1023" t="s">
        <v>1634</v>
      </c>
      <c r="B1023" s="44">
        <v>1988.9109999999998</v>
      </c>
      <c r="C1023">
        <v>-8</v>
      </c>
    </row>
    <row r="1024" spans="1:3" x14ac:dyDescent="0.25">
      <c r="A1024" t="s">
        <v>1635</v>
      </c>
      <c r="B1024" s="44">
        <v>2281.0909999999999</v>
      </c>
      <c r="C1024">
        <v>-10</v>
      </c>
    </row>
    <row r="1025" spans="1:3" x14ac:dyDescent="0.25">
      <c r="A1025" t="s">
        <v>1636</v>
      </c>
      <c r="B1025" s="44">
        <v>2087</v>
      </c>
      <c r="C1025">
        <v>-8</v>
      </c>
    </row>
    <row r="1026" spans="1:3" x14ac:dyDescent="0.25">
      <c r="A1026" t="s">
        <v>1637</v>
      </c>
      <c r="B1026" s="44">
        <v>1988.9109999999998</v>
      </c>
      <c r="C1026">
        <v>-8</v>
      </c>
    </row>
    <row r="1027" spans="1:3" x14ac:dyDescent="0.25">
      <c r="A1027" t="s">
        <v>1638</v>
      </c>
      <c r="B1027" s="44">
        <v>2185.0889999999999</v>
      </c>
      <c r="C1027">
        <v>-8</v>
      </c>
    </row>
    <row r="1028" spans="1:3" x14ac:dyDescent="0.25">
      <c r="A1028" t="s">
        <v>1639</v>
      </c>
      <c r="B1028" s="44">
        <v>2379.1800000000003</v>
      </c>
      <c r="C1028">
        <v>-10</v>
      </c>
    </row>
    <row r="1029" spans="1:3" x14ac:dyDescent="0.25">
      <c r="A1029" t="s">
        <v>1640</v>
      </c>
      <c r="B1029" s="44">
        <v>1988.9109999999998</v>
      </c>
      <c r="C1029">
        <v>-8</v>
      </c>
    </row>
    <row r="1030" spans="1:3" x14ac:dyDescent="0.25">
      <c r="A1030" t="s">
        <v>1641</v>
      </c>
      <c r="B1030" s="44">
        <v>1988.9109999999998</v>
      </c>
      <c r="C1030">
        <v>-8</v>
      </c>
    </row>
    <row r="1031" spans="1:3" x14ac:dyDescent="0.25">
      <c r="A1031" t="s">
        <v>1641</v>
      </c>
      <c r="B1031" s="44">
        <v>2087</v>
      </c>
      <c r="C1031">
        <v>-9</v>
      </c>
    </row>
    <row r="1032" spans="1:3" x14ac:dyDescent="0.25">
      <c r="A1032" t="s">
        <v>1642</v>
      </c>
      <c r="B1032" s="44">
        <v>2087</v>
      </c>
      <c r="C1032">
        <v>-9</v>
      </c>
    </row>
    <row r="1033" spans="1:3" x14ac:dyDescent="0.25">
      <c r="A1033" t="s">
        <v>1643</v>
      </c>
      <c r="B1033" s="44">
        <v>2379.1800000000003</v>
      </c>
      <c r="C1033">
        <v>-10</v>
      </c>
    </row>
    <row r="1034" spans="1:3" x14ac:dyDescent="0.25">
      <c r="A1034" t="s">
        <v>1644</v>
      </c>
      <c r="B1034" s="44">
        <v>1988.9109999999998</v>
      </c>
      <c r="C1034">
        <v>-8</v>
      </c>
    </row>
    <row r="1035" spans="1:3" x14ac:dyDescent="0.25">
      <c r="A1035" t="s">
        <v>1645</v>
      </c>
      <c r="B1035" s="44">
        <v>1988.9109999999998</v>
      </c>
      <c r="C1035">
        <v>-8</v>
      </c>
    </row>
    <row r="1036" spans="1:3" x14ac:dyDescent="0.25">
      <c r="A1036" t="s">
        <v>1646</v>
      </c>
      <c r="B1036" s="44">
        <v>2087</v>
      </c>
      <c r="C1036">
        <v>-8</v>
      </c>
    </row>
    <row r="1037" spans="1:3" x14ac:dyDescent="0.25">
      <c r="A1037" t="s">
        <v>1647</v>
      </c>
      <c r="B1037" s="44">
        <v>2185.0889999999999</v>
      </c>
      <c r="C1037">
        <v>-9</v>
      </c>
    </row>
    <row r="1038" spans="1:3" x14ac:dyDescent="0.25">
      <c r="A1038" t="s">
        <v>1648</v>
      </c>
      <c r="B1038" s="44">
        <v>2379.1800000000003</v>
      </c>
      <c r="C1038">
        <v>-10</v>
      </c>
    </row>
    <row r="1039" spans="1:3" x14ac:dyDescent="0.25">
      <c r="A1039" t="s">
        <v>1649</v>
      </c>
      <c r="B1039" s="44">
        <v>2087</v>
      </c>
      <c r="C1039">
        <v>-8</v>
      </c>
    </row>
    <row r="1040" spans="1:3" x14ac:dyDescent="0.25">
      <c r="A1040" t="s">
        <v>1650</v>
      </c>
      <c r="B1040" s="44">
        <v>1988.9109999999998</v>
      </c>
      <c r="C1040">
        <v>-8</v>
      </c>
    </row>
    <row r="1041" spans="1:3" x14ac:dyDescent="0.25">
      <c r="A1041" t="s">
        <v>1651</v>
      </c>
      <c r="B1041" s="44">
        <v>2185.0889999999999</v>
      </c>
      <c r="C1041">
        <v>-9</v>
      </c>
    </row>
    <row r="1042" spans="1:3" x14ac:dyDescent="0.25">
      <c r="A1042" t="s">
        <v>1652</v>
      </c>
      <c r="B1042" s="44">
        <v>2548.2270000000003</v>
      </c>
      <c r="C1042">
        <v>-11</v>
      </c>
    </row>
    <row r="1043" spans="1:3" x14ac:dyDescent="0.25">
      <c r="A1043" t="s">
        <v>1653</v>
      </c>
      <c r="B1043" s="44">
        <v>1988.9109999999998</v>
      </c>
      <c r="C1043">
        <v>-8</v>
      </c>
    </row>
    <row r="1044" spans="1:3" x14ac:dyDescent="0.25">
      <c r="A1044" t="s">
        <v>1654</v>
      </c>
      <c r="B1044" s="44">
        <v>2185.0889999999999</v>
      </c>
      <c r="C1044">
        <v>-9</v>
      </c>
    </row>
    <row r="1045" spans="1:3" x14ac:dyDescent="0.25">
      <c r="A1045" t="s">
        <v>1655</v>
      </c>
      <c r="B1045" s="44">
        <v>2379.1800000000003</v>
      </c>
      <c r="C1045">
        <v>-10</v>
      </c>
    </row>
    <row r="1046" spans="1:3" x14ac:dyDescent="0.25">
      <c r="A1046" t="s">
        <v>1656</v>
      </c>
      <c r="B1046" s="44">
        <v>2379.1800000000003</v>
      </c>
      <c r="C1046">
        <v>-10</v>
      </c>
    </row>
    <row r="1047" spans="1:3" x14ac:dyDescent="0.25">
      <c r="A1047" t="s">
        <v>1657</v>
      </c>
      <c r="B1047" s="44">
        <v>2281.0909999999999</v>
      </c>
      <c r="C1047">
        <v>-9</v>
      </c>
    </row>
    <row r="1048" spans="1:3" x14ac:dyDescent="0.25">
      <c r="A1048" t="s">
        <v>1658</v>
      </c>
      <c r="B1048" s="44">
        <v>2087</v>
      </c>
      <c r="C1048">
        <v>-8</v>
      </c>
    </row>
    <row r="1049" spans="1:3" x14ac:dyDescent="0.25">
      <c r="A1049" t="s">
        <v>1659</v>
      </c>
      <c r="B1049" s="44">
        <v>2087</v>
      </c>
      <c r="C1049">
        <v>-8</v>
      </c>
    </row>
    <row r="1050" spans="1:3" x14ac:dyDescent="0.25">
      <c r="A1050" t="s">
        <v>1660</v>
      </c>
      <c r="B1050" s="44">
        <v>1892.9090000000001</v>
      </c>
      <c r="C1050">
        <v>-8</v>
      </c>
    </row>
    <row r="1051" spans="1:3" x14ac:dyDescent="0.25">
      <c r="A1051" t="s">
        <v>1661</v>
      </c>
      <c r="B1051" s="44">
        <v>2087</v>
      </c>
      <c r="C1051">
        <v>-8</v>
      </c>
    </row>
    <row r="1052" spans="1:3" x14ac:dyDescent="0.25">
      <c r="A1052" t="s">
        <v>1662</v>
      </c>
      <c r="B1052" s="44">
        <v>2087</v>
      </c>
      <c r="C1052">
        <v>-8</v>
      </c>
    </row>
    <row r="1053" spans="1:3" x14ac:dyDescent="0.25">
      <c r="A1053" t="s">
        <v>1663</v>
      </c>
      <c r="B1053" s="44">
        <v>2087</v>
      </c>
      <c r="C1053">
        <v>-8</v>
      </c>
    </row>
    <row r="1054" spans="1:3" x14ac:dyDescent="0.25">
      <c r="A1054" t="s">
        <v>1664</v>
      </c>
      <c r="B1054" s="44">
        <v>2087</v>
      </c>
      <c r="C1054">
        <v>-8</v>
      </c>
    </row>
    <row r="1055" spans="1:3" x14ac:dyDescent="0.25">
      <c r="A1055" t="s">
        <v>1665</v>
      </c>
      <c r="B1055" s="44">
        <v>1988.9109999999998</v>
      </c>
      <c r="C1055">
        <v>-9</v>
      </c>
    </row>
    <row r="1056" spans="1:3" x14ac:dyDescent="0.25">
      <c r="A1056" t="s">
        <v>1666</v>
      </c>
      <c r="B1056" s="44">
        <v>2087</v>
      </c>
      <c r="C1056">
        <v>-8</v>
      </c>
    </row>
    <row r="1057" spans="1:3" x14ac:dyDescent="0.25">
      <c r="A1057" t="s">
        <v>1666</v>
      </c>
      <c r="B1057" s="44">
        <v>1988.9109999999998</v>
      </c>
      <c r="C1057">
        <v>-8</v>
      </c>
    </row>
    <row r="1058" spans="1:3" x14ac:dyDescent="0.25">
      <c r="A1058" t="s">
        <v>1667</v>
      </c>
      <c r="B1058" s="44">
        <v>2379.1800000000003</v>
      </c>
      <c r="C1058">
        <v>-10</v>
      </c>
    </row>
    <row r="1059" spans="1:3" x14ac:dyDescent="0.25">
      <c r="A1059" t="s">
        <v>1668</v>
      </c>
      <c r="B1059" s="44">
        <v>2185.0889999999999</v>
      </c>
      <c r="C1059">
        <v>-9</v>
      </c>
    </row>
    <row r="1060" spans="1:3" x14ac:dyDescent="0.25">
      <c r="A1060" t="s">
        <v>1669</v>
      </c>
      <c r="B1060" s="44">
        <v>2087</v>
      </c>
      <c r="C1060">
        <v>-8</v>
      </c>
    </row>
    <row r="1061" spans="1:3" x14ac:dyDescent="0.25">
      <c r="A1061" t="s">
        <v>1670</v>
      </c>
      <c r="B1061" s="44">
        <v>2961.453</v>
      </c>
      <c r="C1061">
        <v>-11</v>
      </c>
    </row>
    <row r="1062" spans="1:3" x14ac:dyDescent="0.25">
      <c r="A1062" t="s">
        <v>1671</v>
      </c>
      <c r="B1062" s="44">
        <v>1988.9109999999998</v>
      </c>
      <c r="C1062">
        <v>-8</v>
      </c>
    </row>
    <row r="1063" spans="1:3" x14ac:dyDescent="0.25">
      <c r="A1063" t="s">
        <v>1672</v>
      </c>
      <c r="B1063" s="44">
        <v>2185.0889999999999</v>
      </c>
      <c r="C1063">
        <v>-9</v>
      </c>
    </row>
    <row r="1064" spans="1:3" x14ac:dyDescent="0.25">
      <c r="A1064" t="s">
        <v>1673</v>
      </c>
      <c r="B1064" s="44">
        <v>2185.0889999999999</v>
      </c>
      <c r="C1064">
        <v>-9</v>
      </c>
    </row>
    <row r="1065" spans="1:3" x14ac:dyDescent="0.25">
      <c r="A1065" t="s">
        <v>1674</v>
      </c>
      <c r="B1065" s="44">
        <v>2087</v>
      </c>
      <c r="C1065">
        <v>-8</v>
      </c>
    </row>
    <row r="1066" spans="1:3" x14ac:dyDescent="0.25">
      <c r="A1066" t="s">
        <v>1675</v>
      </c>
      <c r="B1066" s="44">
        <v>1988.9109999999998</v>
      </c>
      <c r="C1066">
        <v>-8</v>
      </c>
    </row>
    <row r="1067" spans="1:3" x14ac:dyDescent="0.25">
      <c r="A1067" t="s">
        <v>1676</v>
      </c>
      <c r="B1067" s="44">
        <v>2281.0909999999999</v>
      </c>
      <c r="C1067">
        <v>-10</v>
      </c>
    </row>
    <row r="1068" spans="1:3" x14ac:dyDescent="0.25">
      <c r="A1068" t="s">
        <v>1677</v>
      </c>
      <c r="B1068" s="44">
        <v>2790.319</v>
      </c>
      <c r="C1068">
        <v>-11</v>
      </c>
    </row>
    <row r="1069" spans="1:3" x14ac:dyDescent="0.25">
      <c r="A1069" t="s">
        <v>1678</v>
      </c>
      <c r="B1069" s="44">
        <v>2548.2270000000003</v>
      </c>
      <c r="C1069">
        <v>-11</v>
      </c>
    </row>
    <row r="1070" spans="1:3" x14ac:dyDescent="0.25">
      <c r="A1070" t="s">
        <v>1679</v>
      </c>
      <c r="B1070" s="44">
        <v>2548.2270000000003</v>
      </c>
      <c r="C1070">
        <v>-10</v>
      </c>
    </row>
    <row r="1071" spans="1:3" x14ac:dyDescent="0.25">
      <c r="A1071" t="s">
        <v>1680</v>
      </c>
      <c r="B1071" s="44">
        <v>2185.0889999999999</v>
      </c>
      <c r="C1071">
        <v>-8</v>
      </c>
    </row>
    <row r="1072" spans="1:3" x14ac:dyDescent="0.25">
      <c r="A1072" t="s">
        <v>1681</v>
      </c>
      <c r="B1072" s="44">
        <v>2087</v>
      </c>
      <c r="C1072">
        <v>-8</v>
      </c>
    </row>
    <row r="1073" spans="1:3" x14ac:dyDescent="0.25">
      <c r="A1073" t="s">
        <v>1682</v>
      </c>
      <c r="B1073" s="44">
        <v>1988.9109999999998</v>
      </c>
      <c r="C1073">
        <v>-8</v>
      </c>
    </row>
    <row r="1074" spans="1:3" x14ac:dyDescent="0.25">
      <c r="A1074" t="s">
        <v>1683</v>
      </c>
      <c r="B1074" s="44">
        <v>1892.9090000000001</v>
      </c>
      <c r="C1074">
        <v>-8</v>
      </c>
    </row>
    <row r="1075" spans="1:3" x14ac:dyDescent="0.25">
      <c r="A1075" t="s">
        <v>1684</v>
      </c>
      <c r="B1075" s="44">
        <v>2185.0889999999999</v>
      </c>
      <c r="C1075">
        <v>-9</v>
      </c>
    </row>
    <row r="1076" spans="1:3" x14ac:dyDescent="0.25">
      <c r="A1076" t="s">
        <v>1685</v>
      </c>
      <c r="B1076" s="44">
        <v>2087</v>
      </c>
      <c r="C1076">
        <v>-8</v>
      </c>
    </row>
    <row r="1077" spans="1:3" x14ac:dyDescent="0.25">
      <c r="A1077" t="s">
        <v>1686</v>
      </c>
      <c r="B1077" s="44">
        <v>2185.0889999999999</v>
      </c>
      <c r="C1077">
        <v>-9</v>
      </c>
    </row>
    <row r="1078" spans="1:3" x14ac:dyDescent="0.25">
      <c r="A1078" t="s">
        <v>1687</v>
      </c>
      <c r="B1078" s="44">
        <v>2087</v>
      </c>
      <c r="C1078">
        <v>-8</v>
      </c>
    </row>
    <row r="1079" spans="1:3" x14ac:dyDescent="0.25">
      <c r="A1079" t="s">
        <v>1688</v>
      </c>
      <c r="B1079" s="44">
        <v>2087</v>
      </c>
      <c r="C1079">
        <v>-8</v>
      </c>
    </row>
    <row r="1080" spans="1:3" x14ac:dyDescent="0.25">
      <c r="A1080" t="s">
        <v>1689</v>
      </c>
      <c r="B1080" s="44">
        <v>2087</v>
      </c>
      <c r="C1080">
        <v>-8</v>
      </c>
    </row>
    <row r="1081" spans="1:3" x14ac:dyDescent="0.25">
      <c r="A1081" t="s">
        <v>1690</v>
      </c>
      <c r="B1081" s="44">
        <v>2379.1800000000003</v>
      </c>
      <c r="C1081">
        <v>-10</v>
      </c>
    </row>
    <row r="1082" spans="1:3" x14ac:dyDescent="0.25">
      <c r="A1082" t="s">
        <v>1691</v>
      </c>
      <c r="B1082" s="44">
        <v>2548.2270000000003</v>
      </c>
      <c r="C1082">
        <v>-11</v>
      </c>
    </row>
    <row r="1083" spans="1:3" x14ac:dyDescent="0.25">
      <c r="A1083" t="s">
        <v>1692</v>
      </c>
      <c r="B1083" s="44">
        <v>2185.0889999999999</v>
      </c>
      <c r="C1083">
        <v>-8</v>
      </c>
    </row>
    <row r="1084" spans="1:3" x14ac:dyDescent="0.25">
      <c r="A1084" t="s">
        <v>1693</v>
      </c>
      <c r="B1084" s="44">
        <v>2185.0889999999999</v>
      </c>
      <c r="C1084">
        <v>-8</v>
      </c>
    </row>
    <row r="1085" spans="1:3" x14ac:dyDescent="0.25">
      <c r="A1085" t="s">
        <v>1694</v>
      </c>
      <c r="B1085" s="44">
        <v>2548.2270000000003</v>
      </c>
      <c r="C1085">
        <v>-11</v>
      </c>
    </row>
    <row r="1086" spans="1:3" x14ac:dyDescent="0.25">
      <c r="A1086" t="s">
        <v>1695</v>
      </c>
      <c r="B1086" s="44">
        <v>2548.2270000000003</v>
      </c>
      <c r="C1086">
        <v>-11</v>
      </c>
    </row>
    <row r="1087" spans="1:3" x14ac:dyDescent="0.25">
      <c r="A1087" t="s">
        <v>1696</v>
      </c>
      <c r="B1087" s="44">
        <v>2379.1800000000003</v>
      </c>
      <c r="C1087">
        <v>-10</v>
      </c>
    </row>
    <row r="1088" spans="1:3" x14ac:dyDescent="0.25">
      <c r="A1088" t="s">
        <v>1697</v>
      </c>
      <c r="B1088" s="44">
        <v>2281.0909999999999</v>
      </c>
      <c r="C1088">
        <v>-9</v>
      </c>
    </row>
    <row r="1089" spans="1:3" x14ac:dyDescent="0.25">
      <c r="A1089" t="s">
        <v>1698</v>
      </c>
      <c r="B1089" s="44">
        <v>2185.0889999999999</v>
      </c>
      <c r="C1089">
        <v>-9</v>
      </c>
    </row>
    <row r="1090" spans="1:3" x14ac:dyDescent="0.25">
      <c r="A1090" t="s">
        <v>1699</v>
      </c>
      <c r="B1090" s="44">
        <v>2185.0889999999999</v>
      </c>
      <c r="C1090">
        <v>-8</v>
      </c>
    </row>
    <row r="1091" spans="1:3" x14ac:dyDescent="0.25">
      <c r="A1091" t="s">
        <v>1700</v>
      </c>
      <c r="B1091" s="44">
        <v>2087</v>
      </c>
      <c r="C1091">
        <v>-8</v>
      </c>
    </row>
    <row r="1092" spans="1:3" x14ac:dyDescent="0.25">
      <c r="A1092" t="s">
        <v>1701</v>
      </c>
      <c r="B1092" s="44">
        <v>1988.9109999999998</v>
      </c>
      <c r="C1092">
        <v>-8</v>
      </c>
    </row>
    <row r="1093" spans="1:3" x14ac:dyDescent="0.25">
      <c r="A1093" t="s">
        <v>1702</v>
      </c>
      <c r="B1093" s="44">
        <v>1892.9090000000001</v>
      </c>
      <c r="C1093">
        <v>-8</v>
      </c>
    </row>
    <row r="1094" spans="1:3" x14ac:dyDescent="0.25">
      <c r="A1094" t="s">
        <v>1703</v>
      </c>
      <c r="B1094" s="44">
        <v>2087</v>
      </c>
      <c r="C1094">
        <v>-9</v>
      </c>
    </row>
    <row r="1095" spans="1:3" x14ac:dyDescent="0.25">
      <c r="A1095" t="s">
        <v>1704</v>
      </c>
      <c r="B1095" s="44">
        <v>2087</v>
      </c>
      <c r="C1095">
        <v>-9</v>
      </c>
    </row>
    <row r="1096" spans="1:3" x14ac:dyDescent="0.25">
      <c r="A1096" t="s">
        <v>1705</v>
      </c>
      <c r="B1096" s="44">
        <v>1988.9109999999998</v>
      </c>
      <c r="C1096">
        <v>-8</v>
      </c>
    </row>
    <row r="1097" spans="1:3" x14ac:dyDescent="0.25">
      <c r="A1097" t="s">
        <v>1706</v>
      </c>
      <c r="B1097" s="44">
        <v>1988.9109999999998</v>
      </c>
      <c r="C1097">
        <v>-8</v>
      </c>
    </row>
    <row r="1098" spans="1:3" x14ac:dyDescent="0.25">
      <c r="A1098" t="s">
        <v>1707</v>
      </c>
      <c r="B1098" s="44">
        <v>2087</v>
      </c>
      <c r="C1098">
        <v>-9</v>
      </c>
    </row>
    <row r="1099" spans="1:3" x14ac:dyDescent="0.25">
      <c r="A1099" t="s">
        <v>1708</v>
      </c>
      <c r="B1099" s="44">
        <v>2087</v>
      </c>
      <c r="C1099">
        <v>-8</v>
      </c>
    </row>
    <row r="1100" spans="1:3" x14ac:dyDescent="0.25">
      <c r="A1100" t="s">
        <v>1709</v>
      </c>
      <c r="B1100" s="44">
        <v>2281.0909999999999</v>
      </c>
      <c r="C1100">
        <v>-10</v>
      </c>
    </row>
    <row r="1101" spans="1:3" x14ac:dyDescent="0.25">
      <c r="A1101" t="s">
        <v>1710</v>
      </c>
      <c r="B1101" s="44">
        <v>2379.1800000000003</v>
      </c>
      <c r="C1101">
        <v>-10</v>
      </c>
    </row>
    <row r="1102" spans="1:3" x14ac:dyDescent="0.25">
      <c r="A1102" t="s">
        <v>1711</v>
      </c>
      <c r="B1102" s="44">
        <v>1988.9109999999998</v>
      </c>
      <c r="C1102">
        <v>-8</v>
      </c>
    </row>
    <row r="1103" spans="1:3" x14ac:dyDescent="0.25">
      <c r="A1103" t="s">
        <v>1712</v>
      </c>
      <c r="B1103" s="44">
        <v>2087</v>
      </c>
      <c r="C1103">
        <v>-8</v>
      </c>
    </row>
    <row r="1104" spans="1:3" x14ac:dyDescent="0.25">
      <c r="A1104" t="s">
        <v>1713</v>
      </c>
      <c r="B1104" s="44">
        <v>2087</v>
      </c>
      <c r="C1104">
        <v>-8</v>
      </c>
    </row>
    <row r="1105" spans="1:3" x14ac:dyDescent="0.25">
      <c r="A1105" t="s">
        <v>1714</v>
      </c>
      <c r="B1105" s="44">
        <v>2185.0889999999999</v>
      </c>
      <c r="C1105">
        <v>-9</v>
      </c>
    </row>
    <row r="1106" spans="1:3" x14ac:dyDescent="0.25">
      <c r="A1106" t="s">
        <v>1715</v>
      </c>
      <c r="B1106" s="44">
        <v>1988.9109999999998</v>
      </c>
      <c r="C1106">
        <v>-8</v>
      </c>
    </row>
    <row r="1107" spans="1:3" x14ac:dyDescent="0.25">
      <c r="A1107" t="s">
        <v>1716</v>
      </c>
      <c r="B1107" s="44">
        <v>2087</v>
      </c>
      <c r="C1107">
        <v>-8</v>
      </c>
    </row>
    <row r="1108" spans="1:3" x14ac:dyDescent="0.25">
      <c r="A1108" t="s">
        <v>1717</v>
      </c>
      <c r="B1108" s="44">
        <v>2087</v>
      </c>
      <c r="C1108">
        <v>-8</v>
      </c>
    </row>
    <row r="1109" spans="1:3" x14ac:dyDescent="0.25">
      <c r="A1109" t="s">
        <v>1718</v>
      </c>
      <c r="B1109" s="44">
        <v>2087</v>
      </c>
      <c r="C1109">
        <v>-8</v>
      </c>
    </row>
    <row r="1110" spans="1:3" x14ac:dyDescent="0.25">
      <c r="A1110" t="s">
        <v>1719</v>
      </c>
      <c r="B1110" s="44">
        <v>2087</v>
      </c>
      <c r="C1110">
        <v>-9</v>
      </c>
    </row>
    <row r="1111" spans="1:3" x14ac:dyDescent="0.25">
      <c r="A1111" t="s">
        <v>1720</v>
      </c>
      <c r="B1111" s="44">
        <v>2379.1800000000003</v>
      </c>
      <c r="C1111">
        <v>-10</v>
      </c>
    </row>
    <row r="1112" spans="1:3" x14ac:dyDescent="0.25">
      <c r="A1112" t="s">
        <v>1721</v>
      </c>
      <c r="B1112" s="44">
        <v>1988.9109999999998</v>
      </c>
      <c r="C1112">
        <v>-8</v>
      </c>
    </row>
    <row r="1113" spans="1:3" x14ac:dyDescent="0.25">
      <c r="A1113" t="s">
        <v>1722</v>
      </c>
      <c r="B1113" s="44">
        <v>2379.1800000000003</v>
      </c>
      <c r="C1113">
        <v>-10</v>
      </c>
    </row>
    <row r="1114" spans="1:3" x14ac:dyDescent="0.25">
      <c r="A1114" t="s">
        <v>1723</v>
      </c>
      <c r="B1114" s="44">
        <v>1988.9109999999998</v>
      </c>
      <c r="C1114">
        <v>-8</v>
      </c>
    </row>
    <row r="1115" spans="1:3" x14ac:dyDescent="0.25">
      <c r="A1115" t="s">
        <v>1724</v>
      </c>
      <c r="B1115" s="44">
        <v>2087</v>
      </c>
      <c r="C1115">
        <v>-8</v>
      </c>
    </row>
    <row r="1116" spans="1:3" x14ac:dyDescent="0.25">
      <c r="A1116" t="s">
        <v>1725</v>
      </c>
      <c r="B1116" s="44">
        <v>2087</v>
      </c>
      <c r="C1116">
        <v>-8</v>
      </c>
    </row>
    <row r="1117" spans="1:3" x14ac:dyDescent="0.25">
      <c r="A1117" t="s">
        <v>1726</v>
      </c>
      <c r="B1117" s="44">
        <v>2281.0909999999999</v>
      </c>
      <c r="C1117">
        <v>-9</v>
      </c>
    </row>
    <row r="1118" spans="1:3" x14ac:dyDescent="0.25">
      <c r="A1118" t="s">
        <v>1727</v>
      </c>
      <c r="B1118" s="44">
        <v>2185.0889999999999</v>
      </c>
      <c r="C1118">
        <v>-8</v>
      </c>
    </row>
    <row r="1119" spans="1:3" x14ac:dyDescent="0.25">
      <c r="A1119" t="s">
        <v>1728</v>
      </c>
      <c r="B1119" s="44">
        <v>1988.9109999999998</v>
      </c>
      <c r="C1119">
        <v>-8</v>
      </c>
    </row>
    <row r="1120" spans="1:3" x14ac:dyDescent="0.25">
      <c r="A1120" t="s">
        <v>1729</v>
      </c>
      <c r="B1120" s="44">
        <v>2087</v>
      </c>
      <c r="C1120">
        <v>-8</v>
      </c>
    </row>
    <row r="1121" spans="1:3" x14ac:dyDescent="0.25">
      <c r="A1121" t="s">
        <v>1730</v>
      </c>
      <c r="B1121" s="44">
        <v>2087</v>
      </c>
      <c r="C1121">
        <v>-8</v>
      </c>
    </row>
    <row r="1122" spans="1:3" x14ac:dyDescent="0.25">
      <c r="A1122" t="s">
        <v>1731</v>
      </c>
      <c r="B1122" s="44">
        <v>1988.9109999999998</v>
      </c>
      <c r="C1122">
        <v>-8</v>
      </c>
    </row>
    <row r="1123" spans="1:3" x14ac:dyDescent="0.25">
      <c r="A1123" t="s">
        <v>1732</v>
      </c>
      <c r="B1123" s="44">
        <v>2087</v>
      </c>
      <c r="C1123">
        <v>-8</v>
      </c>
    </row>
    <row r="1124" spans="1:3" x14ac:dyDescent="0.25">
      <c r="A1124" t="s">
        <v>1733</v>
      </c>
      <c r="B1124" s="44">
        <v>2087</v>
      </c>
      <c r="C1124">
        <v>-9</v>
      </c>
    </row>
    <row r="1125" spans="1:3" x14ac:dyDescent="0.25">
      <c r="A1125" t="s">
        <v>1734</v>
      </c>
      <c r="B1125" s="44">
        <v>1988.9109999999998</v>
      </c>
      <c r="C1125">
        <v>-8</v>
      </c>
    </row>
    <row r="1126" spans="1:3" x14ac:dyDescent="0.25">
      <c r="A1126" t="s">
        <v>1735</v>
      </c>
      <c r="B1126" s="44">
        <v>1988.9109999999998</v>
      </c>
      <c r="C1126">
        <v>-8</v>
      </c>
    </row>
    <row r="1127" spans="1:3" x14ac:dyDescent="0.25">
      <c r="A1127" t="s">
        <v>1736</v>
      </c>
      <c r="B1127" s="44">
        <v>2087</v>
      </c>
      <c r="C1127">
        <v>-8</v>
      </c>
    </row>
    <row r="1128" spans="1:3" x14ac:dyDescent="0.25">
      <c r="A1128" t="s">
        <v>1737</v>
      </c>
      <c r="B1128" s="44">
        <v>2087</v>
      </c>
      <c r="C1128">
        <v>-8</v>
      </c>
    </row>
    <row r="1129" spans="1:3" x14ac:dyDescent="0.25">
      <c r="A1129" t="s">
        <v>1738</v>
      </c>
      <c r="B1129" s="44">
        <v>2185.0889999999999</v>
      </c>
      <c r="C1129">
        <v>-9</v>
      </c>
    </row>
    <row r="1130" spans="1:3" x14ac:dyDescent="0.25">
      <c r="A1130" t="s">
        <v>1739</v>
      </c>
      <c r="B1130" s="44">
        <v>2087</v>
      </c>
      <c r="C1130">
        <v>-9</v>
      </c>
    </row>
    <row r="1131" spans="1:3" x14ac:dyDescent="0.25">
      <c r="A1131" t="s">
        <v>1740</v>
      </c>
      <c r="B1131" s="44">
        <v>2087</v>
      </c>
      <c r="C1131">
        <v>-8</v>
      </c>
    </row>
    <row r="1132" spans="1:3" x14ac:dyDescent="0.25">
      <c r="A1132" t="s">
        <v>1741</v>
      </c>
      <c r="B1132" s="44">
        <v>2087</v>
      </c>
      <c r="C1132">
        <v>-8</v>
      </c>
    </row>
    <row r="1133" spans="1:3" x14ac:dyDescent="0.25">
      <c r="A1133" t="s">
        <v>1742</v>
      </c>
      <c r="B1133" s="44">
        <v>2281.0909999999999</v>
      </c>
      <c r="C1133">
        <v>-9</v>
      </c>
    </row>
    <row r="1134" spans="1:3" x14ac:dyDescent="0.25">
      <c r="A1134" t="s">
        <v>1743</v>
      </c>
      <c r="B1134" s="44">
        <v>2087</v>
      </c>
      <c r="C1134">
        <v>-8</v>
      </c>
    </row>
    <row r="1135" spans="1:3" x14ac:dyDescent="0.25">
      <c r="A1135" t="s">
        <v>1744</v>
      </c>
      <c r="B1135" s="44">
        <v>1988.9109999999998</v>
      </c>
      <c r="C1135">
        <v>-8</v>
      </c>
    </row>
    <row r="1136" spans="1:3" x14ac:dyDescent="0.25">
      <c r="A1136" t="s">
        <v>1745</v>
      </c>
      <c r="B1136" s="44">
        <v>2548.2270000000003</v>
      </c>
      <c r="C1136">
        <v>-10</v>
      </c>
    </row>
    <row r="1137" spans="1:3" x14ac:dyDescent="0.25">
      <c r="A1137" t="s">
        <v>1746</v>
      </c>
      <c r="B1137" s="44">
        <v>1892.9090000000001</v>
      </c>
      <c r="C1137">
        <v>-8</v>
      </c>
    </row>
    <row r="1138" spans="1:3" x14ac:dyDescent="0.25">
      <c r="A1138" t="s">
        <v>1747</v>
      </c>
      <c r="B1138" s="44">
        <v>2379.1800000000003</v>
      </c>
      <c r="C1138">
        <v>-10</v>
      </c>
    </row>
    <row r="1139" spans="1:3" x14ac:dyDescent="0.25">
      <c r="A1139" t="s">
        <v>1748</v>
      </c>
      <c r="B1139" s="44">
        <v>1988.9109999999998</v>
      </c>
      <c r="C1139">
        <v>-8</v>
      </c>
    </row>
    <row r="1140" spans="1:3" x14ac:dyDescent="0.25">
      <c r="A1140" t="s">
        <v>1749</v>
      </c>
      <c r="B1140" s="44">
        <v>2379.1800000000003</v>
      </c>
      <c r="C1140">
        <v>-11</v>
      </c>
    </row>
    <row r="1141" spans="1:3" x14ac:dyDescent="0.25">
      <c r="A1141" t="s">
        <v>1750</v>
      </c>
      <c r="B1141" s="44">
        <v>2281.0909999999999</v>
      </c>
      <c r="C1141">
        <v>-10</v>
      </c>
    </row>
    <row r="1142" spans="1:3" x14ac:dyDescent="0.25">
      <c r="A1142" t="s">
        <v>1751</v>
      </c>
      <c r="B1142" s="44">
        <v>2281.0909999999999</v>
      </c>
      <c r="C1142">
        <v>-9</v>
      </c>
    </row>
    <row r="1143" spans="1:3" x14ac:dyDescent="0.25">
      <c r="A1143" t="s">
        <v>1752</v>
      </c>
      <c r="B1143" s="44">
        <v>2281.0909999999999</v>
      </c>
      <c r="C1143">
        <v>-9</v>
      </c>
    </row>
    <row r="1144" spans="1:3" x14ac:dyDescent="0.25">
      <c r="A1144" t="s">
        <v>1753</v>
      </c>
      <c r="B1144" s="44">
        <v>2281.0909999999999</v>
      </c>
      <c r="C1144">
        <v>-10</v>
      </c>
    </row>
    <row r="1145" spans="1:3" x14ac:dyDescent="0.25">
      <c r="A1145" t="s">
        <v>1754</v>
      </c>
      <c r="B1145" s="44">
        <v>2281.0909999999999</v>
      </c>
      <c r="C1145">
        <v>-9</v>
      </c>
    </row>
    <row r="1146" spans="1:3" x14ac:dyDescent="0.25">
      <c r="A1146" t="s">
        <v>1755</v>
      </c>
      <c r="B1146" s="44">
        <v>2548.2270000000003</v>
      </c>
      <c r="C1146">
        <v>-10</v>
      </c>
    </row>
    <row r="1147" spans="1:3" x14ac:dyDescent="0.25">
      <c r="A1147" t="s">
        <v>1756</v>
      </c>
      <c r="B1147" s="44">
        <v>2087</v>
      </c>
      <c r="C1147">
        <v>-8</v>
      </c>
    </row>
    <row r="1148" spans="1:3" x14ac:dyDescent="0.25">
      <c r="A1148" t="s">
        <v>1757</v>
      </c>
      <c r="B1148" s="44">
        <v>2087</v>
      </c>
      <c r="C1148">
        <v>-8</v>
      </c>
    </row>
    <row r="1149" spans="1:3" x14ac:dyDescent="0.25">
      <c r="A1149" t="s">
        <v>1758</v>
      </c>
      <c r="B1149" s="44">
        <v>2087</v>
      </c>
      <c r="C1149">
        <v>-9</v>
      </c>
    </row>
    <row r="1150" spans="1:3" x14ac:dyDescent="0.25">
      <c r="A1150" t="s">
        <v>1759</v>
      </c>
      <c r="B1150" s="44">
        <v>2548.2270000000003</v>
      </c>
      <c r="C1150">
        <v>-10</v>
      </c>
    </row>
    <row r="1151" spans="1:3" x14ac:dyDescent="0.25">
      <c r="A1151" t="s">
        <v>1760</v>
      </c>
      <c r="B1151" s="44">
        <v>2185.0889999999999</v>
      </c>
      <c r="C1151">
        <v>-9</v>
      </c>
    </row>
    <row r="1152" spans="1:3" x14ac:dyDescent="0.25">
      <c r="A1152" t="s">
        <v>1761</v>
      </c>
      <c r="B1152" s="44">
        <v>2790.319</v>
      </c>
      <c r="C1152">
        <v>-11</v>
      </c>
    </row>
    <row r="1153" spans="1:3" x14ac:dyDescent="0.25">
      <c r="A1153" t="s">
        <v>1762</v>
      </c>
      <c r="B1153" s="44">
        <v>2087</v>
      </c>
      <c r="C1153">
        <v>-8</v>
      </c>
    </row>
    <row r="1154" spans="1:3" x14ac:dyDescent="0.25">
      <c r="A1154" t="s">
        <v>1763</v>
      </c>
      <c r="B1154" s="44">
        <v>2379.1800000000003</v>
      </c>
      <c r="C1154">
        <v>-10</v>
      </c>
    </row>
    <row r="1155" spans="1:3" x14ac:dyDescent="0.25">
      <c r="A1155" t="s">
        <v>1764</v>
      </c>
      <c r="B1155" s="44">
        <v>2185.0889999999999</v>
      </c>
      <c r="C1155">
        <v>-9</v>
      </c>
    </row>
    <row r="1156" spans="1:3" x14ac:dyDescent="0.25">
      <c r="A1156" t="s">
        <v>1765</v>
      </c>
      <c r="B1156" s="44">
        <v>2185.0889999999999</v>
      </c>
      <c r="C1156">
        <v>-9</v>
      </c>
    </row>
    <row r="1157" spans="1:3" x14ac:dyDescent="0.25">
      <c r="A1157" t="s">
        <v>1765</v>
      </c>
      <c r="B1157" s="44">
        <v>2281.0909999999999</v>
      </c>
      <c r="C1157">
        <v>-9</v>
      </c>
    </row>
    <row r="1158" spans="1:3" x14ac:dyDescent="0.25">
      <c r="A1158" t="s">
        <v>1766</v>
      </c>
      <c r="B1158" s="44">
        <v>2185.0889999999999</v>
      </c>
      <c r="C1158">
        <v>-9</v>
      </c>
    </row>
    <row r="1159" spans="1:3" x14ac:dyDescent="0.25">
      <c r="A1159" t="s">
        <v>1766</v>
      </c>
      <c r="B1159" s="44">
        <v>2281.0909999999999</v>
      </c>
      <c r="C1159">
        <v>-10</v>
      </c>
    </row>
    <row r="1160" spans="1:3" x14ac:dyDescent="0.25">
      <c r="A1160" t="s">
        <v>1767</v>
      </c>
      <c r="B1160" s="44">
        <v>2087</v>
      </c>
      <c r="C1160">
        <v>-8</v>
      </c>
    </row>
    <row r="1161" spans="1:3" x14ac:dyDescent="0.25">
      <c r="A1161" t="s">
        <v>1768</v>
      </c>
      <c r="B1161" s="44">
        <v>2087</v>
      </c>
      <c r="C1161">
        <v>-8</v>
      </c>
    </row>
    <row r="1162" spans="1:3" x14ac:dyDescent="0.25">
      <c r="A1162" t="s">
        <v>1769</v>
      </c>
      <c r="B1162" s="44">
        <v>2087</v>
      </c>
      <c r="C1162">
        <v>-9</v>
      </c>
    </row>
    <row r="1163" spans="1:3" x14ac:dyDescent="0.25">
      <c r="A1163" t="s">
        <v>1770</v>
      </c>
      <c r="B1163" s="44">
        <v>2087</v>
      </c>
      <c r="C1163">
        <v>-9</v>
      </c>
    </row>
    <row r="1164" spans="1:3" x14ac:dyDescent="0.25">
      <c r="A1164" t="s">
        <v>1771</v>
      </c>
      <c r="B1164" s="44">
        <v>2087</v>
      </c>
      <c r="C1164">
        <v>-8</v>
      </c>
    </row>
    <row r="1165" spans="1:3" x14ac:dyDescent="0.25">
      <c r="A1165" t="s">
        <v>1772</v>
      </c>
      <c r="B1165" s="44">
        <v>2087</v>
      </c>
      <c r="C1165">
        <v>-8</v>
      </c>
    </row>
    <row r="1166" spans="1:3" x14ac:dyDescent="0.25">
      <c r="A1166" t="s">
        <v>1773</v>
      </c>
      <c r="B1166" s="44">
        <v>2281.0909999999999</v>
      </c>
      <c r="C1166">
        <v>-9</v>
      </c>
    </row>
    <row r="1167" spans="1:3" x14ac:dyDescent="0.25">
      <c r="A1167" t="s">
        <v>1774</v>
      </c>
      <c r="B1167" s="44">
        <v>2281.0909999999999</v>
      </c>
      <c r="C1167">
        <v>-9</v>
      </c>
    </row>
    <row r="1168" spans="1:3" x14ac:dyDescent="0.25">
      <c r="A1168" t="s">
        <v>1775</v>
      </c>
      <c r="B1168" s="44">
        <v>2185.0889999999999</v>
      </c>
      <c r="C1168">
        <v>-9</v>
      </c>
    </row>
    <row r="1169" spans="1:3" x14ac:dyDescent="0.25">
      <c r="A1169" t="s">
        <v>1776</v>
      </c>
      <c r="B1169" s="44">
        <v>2281.0909999999999</v>
      </c>
      <c r="C1169">
        <v>-9</v>
      </c>
    </row>
    <row r="1170" spans="1:3" x14ac:dyDescent="0.25">
      <c r="A1170" t="s">
        <v>1777</v>
      </c>
      <c r="B1170" s="44">
        <v>2185.0889999999999</v>
      </c>
      <c r="C1170">
        <v>-9</v>
      </c>
    </row>
    <row r="1171" spans="1:3" x14ac:dyDescent="0.25">
      <c r="A1171" t="s">
        <v>1778</v>
      </c>
      <c r="B1171" s="44">
        <v>2087</v>
      </c>
      <c r="C1171">
        <v>-8</v>
      </c>
    </row>
    <row r="1172" spans="1:3" x14ac:dyDescent="0.25">
      <c r="A1172" t="s">
        <v>1779</v>
      </c>
      <c r="B1172" s="44">
        <v>2790.319</v>
      </c>
      <c r="C1172">
        <v>-11</v>
      </c>
    </row>
    <row r="1173" spans="1:3" x14ac:dyDescent="0.25">
      <c r="A1173" t="s">
        <v>1780</v>
      </c>
      <c r="B1173" s="44">
        <v>1988.9109999999998</v>
      </c>
      <c r="C1173">
        <v>-8</v>
      </c>
    </row>
    <row r="1174" spans="1:3" x14ac:dyDescent="0.25">
      <c r="A1174" t="s">
        <v>1781</v>
      </c>
      <c r="B1174" s="44">
        <v>1988.9109999999998</v>
      </c>
      <c r="C1174">
        <v>-8</v>
      </c>
    </row>
    <row r="1175" spans="1:3" x14ac:dyDescent="0.25">
      <c r="A1175" t="s">
        <v>1782</v>
      </c>
      <c r="B1175" s="44">
        <v>2087</v>
      </c>
      <c r="C1175">
        <v>-9</v>
      </c>
    </row>
    <row r="1176" spans="1:3" x14ac:dyDescent="0.25">
      <c r="A1176" t="s">
        <v>1783</v>
      </c>
      <c r="B1176" s="44">
        <v>2087</v>
      </c>
      <c r="C1176">
        <v>-8</v>
      </c>
    </row>
    <row r="1177" spans="1:3" x14ac:dyDescent="0.25">
      <c r="A1177" t="s">
        <v>1784</v>
      </c>
      <c r="B1177" s="44">
        <v>1988.9109999999998</v>
      </c>
      <c r="C1177">
        <v>-8</v>
      </c>
    </row>
    <row r="1178" spans="1:3" x14ac:dyDescent="0.25">
      <c r="A1178" t="s">
        <v>1785</v>
      </c>
      <c r="B1178" s="44">
        <v>1988.9109999999998</v>
      </c>
      <c r="C1178">
        <v>-8</v>
      </c>
    </row>
    <row r="1179" spans="1:3" x14ac:dyDescent="0.25">
      <c r="A1179" t="s">
        <v>1786</v>
      </c>
      <c r="B1179" s="44">
        <v>2087</v>
      </c>
      <c r="C1179">
        <v>-9</v>
      </c>
    </row>
    <row r="1180" spans="1:3" x14ac:dyDescent="0.25">
      <c r="A1180" t="s">
        <v>1787</v>
      </c>
      <c r="B1180" s="44">
        <v>2087</v>
      </c>
      <c r="C1180">
        <v>-8</v>
      </c>
    </row>
    <row r="1181" spans="1:3" x14ac:dyDescent="0.25">
      <c r="A1181" t="s">
        <v>1788</v>
      </c>
      <c r="B1181" s="44">
        <v>1988.9109999999998</v>
      </c>
      <c r="C1181">
        <v>-8</v>
      </c>
    </row>
    <row r="1182" spans="1:3" x14ac:dyDescent="0.25">
      <c r="A1182" t="s">
        <v>1789</v>
      </c>
      <c r="B1182" s="44">
        <v>2185.0889999999999</v>
      </c>
      <c r="C1182">
        <v>-8</v>
      </c>
    </row>
    <row r="1183" spans="1:3" x14ac:dyDescent="0.25">
      <c r="A1183" t="s">
        <v>1790</v>
      </c>
      <c r="B1183" s="44">
        <v>1988.9109999999998</v>
      </c>
      <c r="C1183">
        <v>-8</v>
      </c>
    </row>
    <row r="1184" spans="1:3" x14ac:dyDescent="0.25">
      <c r="A1184" t="s">
        <v>1791</v>
      </c>
      <c r="B1184" s="44">
        <v>2087</v>
      </c>
      <c r="C1184">
        <v>-9</v>
      </c>
    </row>
    <row r="1185" spans="1:3" x14ac:dyDescent="0.25">
      <c r="A1185" t="s">
        <v>1791</v>
      </c>
      <c r="B1185" s="44">
        <v>2087</v>
      </c>
      <c r="C1185">
        <v>-9</v>
      </c>
    </row>
    <row r="1186" spans="1:3" x14ac:dyDescent="0.25">
      <c r="A1186" t="s">
        <v>1792</v>
      </c>
      <c r="B1186" s="44">
        <v>1988.9109999999998</v>
      </c>
      <c r="C1186">
        <v>-8</v>
      </c>
    </row>
    <row r="1187" spans="1:3" x14ac:dyDescent="0.25">
      <c r="A1187" t="s">
        <v>1793</v>
      </c>
      <c r="B1187" s="44">
        <v>1988.9109999999998</v>
      </c>
      <c r="C1187">
        <v>-8</v>
      </c>
    </row>
    <row r="1188" spans="1:3" x14ac:dyDescent="0.25">
      <c r="A1188" t="s">
        <v>1794</v>
      </c>
      <c r="B1188" s="44">
        <v>2087</v>
      </c>
      <c r="C1188">
        <v>-9</v>
      </c>
    </row>
    <row r="1189" spans="1:3" x14ac:dyDescent="0.25">
      <c r="A1189" t="s">
        <v>1795</v>
      </c>
      <c r="B1189" s="44">
        <v>2185.0889999999999</v>
      </c>
      <c r="C1189">
        <v>-9</v>
      </c>
    </row>
    <row r="1190" spans="1:3" x14ac:dyDescent="0.25">
      <c r="A1190" t="s">
        <v>1796</v>
      </c>
      <c r="B1190" s="44">
        <v>1988.9109999999998</v>
      </c>
      <c r="C1190">
        <v>-8</v>
      </c>
    </row>
    <row r="1191" spans="1:3" x14ac:dyDescent="0.25">
      <c r="A1191" t="s">
        <v>1797</v>
      </c>
      <c r="B1191" s="44">
        <v>1988.9109999999998</v>
      </c>
      <c r="C1191">
        <v>-8</v>
      </c>
    </row>
    <row r="1192" spans="1:3" x14ac:dyDescent="0.25">
      <c r="A1192" t="s">
        <v>1798</v>
      </c>
      <c r="B1192" s="44">
        <v>2379.1800000000003</v>
      </c>
      <c r="C1192">
        <v>-10</v>
      </c>
    </row>
    <row r="1193" spans="1:3" x14ac:dyDescent="0.25">
      <c r="A1193" t="s">
        <v>1799</v>
      </c>
      <c r="B1193" s="44">
        <v>2185.0889999999999</v>
      </c>
      <c r="C1193">
        <v>-9</v>
      </c>
    </row>
    <row r="1194" spans="1:3" x14ac:dyDescent="0.25">
      <c r="A1194" t="s">
        <v>1800</v>
      </c>
      <c r="B1194" s="44">
        <v>1988.9109999999998</v>
      </c>
      <c r="C1194">
        <v>-8</v>
      </c>
    </row>
    <row r="1195" spans="1:3" x14ac:dyDescent="0.25">
      <c r="A1195" t="s">
        <v>1801</v>
      </c>
      <c r="B1195" s="44">
        <v>1892.9090000000001</v>
      </c>
      <c r="C1195">
        <v>-8</v>
      </c>
    </row>
    <row r="1196" spans="1:3" x14ac:dyDescent="0.25">
      <c r="A1196" t="s">
        <v>1802</v>
      </c>
      <c r="B1196" s="44">
        <v>2087</v>
      </c>
      <c r="C1196">
        <v>-8</v>
      </c>
    </row>
    <row r="1197" spans="1:3" x14ac:dyDescent="0.25">
      <c r="A1197" t="s">
        <v>1803</v>
      </c>
      <c r="B1197" s="44">
        <v>2087</v>
      </c>
      <c r="C1197">
        <v>-8</v>
      </c>
    </row>
    <row r="1198" spans="1:3" x14ac:dyDescent="0.25">
      <c r="A1198" t="s">
        <v>1804</v>
      </c>
      <c r="B1198" s="44">
        <v>2087</v>
      </c>
      <c r="C1198">
        <v>-8</v>
      </c>
    </row>
    <row r="1199" spans="1:3" x14ac:dyDescent="0.25">
      <c r="A1199" t="s">
        <v>1805</v>
      </c>
      <c r="B1199" s="44">
        <v>2087</v>
      </c>
      <c r="C1199">
        <v>-8</v>
      </c>
    </row>
    <row r="1200" spans="1:3" x14ac:dyDescent="0.25">
      <c r="A1200" t="s">
        <v>1806</v>
      </c>
      <c r="B1200" s="44">
        <v>2087</v>
      </c>
      <c r="C1200">
        <v>-8</v>
      </c>
    </row>
    <row r="1201" spans="1:3" x14ac:dyDescent="0.25">
      <c r="A1201" t="s">
        <v>1807</v>
      </c>
      <c r="B1201" s="44">
        <v>2087</v>
      </c>
      <c r="C1201">
        <v>-8</v>
      </c>
    </row>
    <row r="1202" spans="1:3" x14ac:dyDescent="0.25">
      <c r="A1202" t="s">
        <v>1808</v>
      </c>
      <c r="B1202" s="44">
        <v>2087</v>
      </c>
      <c r="C1202">
        <v>-9</v>
      </c>
    </row>
    <row r="1203" spans="1:3" x14ac:dyDescent="0.25">
      <c r="A1203" t="s">
        <v>1809</v>
      </c>
      <c r="B1203" s="44">
        <v>2087</v>
      </c>
      <c r="C1203">
        <v>-8</v>
      </c>
    </row>
    <row r="1204" spans="1:3" x14ac:dyDescent="0.25">
      <c r="A1204" t="s">
        <v>1810</v>
      </c>
      <c r="B1204" s="44">
        <v>1988.9109999999998</v>
      </c>
      <c r="C1204">
        <v>-8</v>
      </c>
    </row>
    <row r="1205" spans="1:3" x14ac:dyDescent="0.25">
      <c r="A1205" t="s">
        <v>1811</v>
      </c>
      <c r="B1205" s="44">
        <v>2185.0889999999999</v>
      </c>
      <c r="C1205">
        <v>-9</v>
      </c>
    </row>
    <row r="1206" spans="1:3" x14ac:dyDescent="0.25">
      <c r="A1206" t="s">
        <v>1812</v>
      </c>
      <c r="B1206" s="44">
        <v>2087</v>
      </c>
      <c r="C1206">
        <v>-8</v>
      </c>
    </row>
    <row r="1207" spans="1:3" x14ac:dyDescent="0.25">
      <c r="A1207" t="s">
        <v>1813</v>
      </c>
      <c r="B1207" s="44">
        <v>2379.1800000000003</v>
      </c>
      <c r="C1207">
        <v>-10</v>
      </c>
    </row>
    <row r="1208" spans="1:3" x14ac:dyDescent="0.25">
      <c r="A1208" t="s">
        <v>1814</v>
      </c>
      <c r="B1208" s="44">
        <v>2185.0889999999999</v>
      </c>
      <c r="C1208">
        <v>-9</v>
      </c>
    </row>
    <row r="1209" spans="1:3" x14ac:dyDescent="0.25">
      <c r="A1209" t="s">
        <v>1815</v>
      </c>
      <c r="B1209" s="44">
        <v>1988.9109999999998</v>
      </c>
      <c r="C1209">
        <v>-8</v>
      </c>
    </row>
    <row r="1210" spans="1:3" x14ac:dyDescent="0.25">
      <c r="A1210" t="s">
        <v>1816</v>
      </c>
      <c r="B1210" s="44">
        <v>2185.0889999999999</v>
      </c>
      <c r="C1210">
        <v>-9</v>
      </c>
    </row>
    <row r="1211" spans="1:3" x14ac:dyDescent="0.25">
      <c r="A1211" t="s">
        <v>1817</v>
      </c>
      <c r="B1211" s="44">
        <v>2087</v>
      </c>
      <c r="C1211">
        <v>-8</v>
      </c>
    </row>
    <row r="1212" spans="1:3" x14ac:dyDescent="0.25">
      <c r="A1212" t="s">
        <v>1818</v>
      </c>
      <c r="B1212" s="44">
        <v>2087</v>
      </c>
      <c r="C1212">
        <v>-8</v>
      </c>
    </row>
    <row r="1213" spans="1:3" x14ac:dyDescent="0.25">
      <c r="A1213" t="s">
        <v>1819</v>
      </c>
      <c r="B1213" s="44">
        <v>2185.0889999999999</v>
      </c>
      <c r="C1213">
        <v>-9</v>
      </c>
    </row>
    <row r="1214" spans="1:3" x14ac:dyDescent="0.25">
      <c r="A1214" t="s">
        <v>1820</v>
      </c>
      <c r="B1214" s="44">
        <v>1892.9090000000001</v>
      </c>
      <c r="C1214">
        <v>-7</v>
      </c>
    </row>
    <row r="1215" spans="1:3" x14ac:dyDescent="0.25">
      <c r="A1215" t="s">
        <v>1821</v>
      </c>
      <c r="B1215" s="44">
        <v>1988.9109999999998</v>
      </c>
      <c r="C1215">
        <v>-8</v>
      </c>
    </row>
    <row r="1216" spans="1:3" x14ac:dyDescent="0.25">
      <c r="A1216" t="s">
        <v>1822</v>
      </c>
      <c r="B1216" s="44">
        <v>2087</v>
      </c>
      <c r="C1216">
        <v>-8</v>
      </c>
    </row>
    <row r="1217" spans="1:3" x14ac:dyDescent="0.25">
      <c r="A1217" t="s">
        <v>1823</v>
      </c>
      <c r="B1217" s="44">
        <v>1988.9109999999998</v>
      </c>
      <c r="C1217">
        <v>-8</v>
      </c>
    </row>
    <row r="1218" spans="1:3" x14ac:dyDescent="0.25">
      <c r="A1218" t="s">
        <v>1824</v>
      </c>
      <c r="B1218" s="44">
        <v>1988.9109999999998</v>
      </c>
      <c r="C1218">
        <v>-8</v>
      </c>
    </row>
    <row r="1219" spans="1:3" x14ac:dyDescent="0.25">
      <c r="A1219" t="s">
        <v>1825</v>
      </c>
      <c r="B1219" s="44">
        <v>1892.9090000000001</v>
      </c>
      <c r="C1219">
        <v>-7</v>
      </c>
    </row>
    <row r="1220" spans="1:3" x14ac:dyDescent="0.25">
      <c r="A1220" t="s">
        <v>1826</v>
      </c>
      <c r="B1220" s="44">
        <v>1892.9090000000001</v>
      </c>
      <c r="C1220">
        <v>-7</v>
      </c>
    </row>
    <row r="1221" spans="1:3" x14ac:dyDescent="0.25">
      <c r="A1221" t="s">
        <v>1827</v>
      </c>
      <c r="B1221" s="44">
        <v>2087</v>
      </c>
      <c r="C1221">
        <v>-8</v>
      </c>
    </row>
    <row r="1222" spans="1:3" x14ac:dyDescent="0.25">
      <c r="A1222" t="s">
        <v>1828</v>
      </c>
      <c r="B1222" s="44">
        <v>1988.9109999999998</v>
      </c>
      <c r="C1222">
        <v>-8</v>
      </c>
    </row>
    <row r="1223" spans="1:3" x14ac:dyDescent="0.25">
      <c r="A1223" t="s">
        <v>1829</v>
      </c>
      <c r="B1223" s="44">
        <v>2087</v>
      </c>
      <c r="C1223">
        <v>-8</v>
      </c>
    </row>
    <row r="1224" spans="1:3" x14ac:dyDescent="0.25">
      <c r="A1224" t="s">
        <v>1830</v>
      </c>
      <c r="B1224" s="44">
        <v>2087</v>
      </c>
      <c r="C1224">
        <v>-9</v>
      </c>
    </row>
    <row r="1225" spans="1:3" x14ac:dyDescent="0.25">
      <c r="A1225" t="s">
        <v>1831</v>
      </c>
      <c r="B1225" s="44">
        <v>1892.9090000000001</v>
      </c>
      <c r="C1225">
        <v>-7</v>
      </c>
    </row>
    <row r="1226" spans="1:3" x14ac:dyDescent="0.25">
      <c r="A1226" t="s">
        <v>1832</v>
      </c>
      <c r="B1226" s="44">
        <v>2087</v>
      </c>
      <c r="C1226">
        <v>-8</v>
      </c>
    </row>
    <row r="1227" spans="1:3" x14ac:dyDescent="0.25">
      <c r="A1227" t="s">
        <v>1833</v>
      </c>
      <c r="B1227" s="44">
        <v>1988.9109999999998</v>
      </c>
      <c r="C1227">
        <v>-8</v>
      </c>
    </row>
    <row r="1228" spans="1:3" x14ac:dyDescent="0.25">
      <c r="A1228" t="s">
        <v>1834</v>
      </c>
      <c r="B1228" s="44">
        <v>2087</v>
      </c>
      <c r="C1228">
        <v>-8</v>
      </c>
    </row>
    <row r="1229" spans="1:3" x14ac:dyDescent="0.25">
      <c r="A1229" t="s">
        <v>1835</v>
      </c>
      <c r="B1229" s="44">
        <v>1988.9109999999998</v>
      </c>
      <c r="C1229">
        <v>-8</v>
      </c>
    </row>
    <row r="1230" spans="1:3" x14ac:dyDescent="0.25">
      <c r="A1230" t="s">
        <v>1836</v>
      </c>
      <c r="B1230" s="44">
        <v>1988.9109999999998</v>
      </c>
      <c r="C1230">
        <v>-8</v>
      </c>
    </row>
    <row r="1231" spans="1:3" x14ac:dyDescent="0.25">
      <c r="A1231" t="s">
        <v>1837</v>
      </c>
      <c r="B1231" s="44">
        <v>1988.9109999999998</v>
      </c>
      <c r="C1231">
        <v>-8</v>
      </c>
    </row>
    <row r="1232" spans="1:3" x14ac:dyDescent="0.25">
      <c r="A1232" t="s">
        <v>1838</v>
      </c>
      <c r="B1232" s="44">
        <v>1988.9109999999998</v>
      </c>
      <c r="C1232">
        <v>-8</v>
      </c>
    </row>
    <row r="1233" spans="1:3" x14ac:dyDescent="0.25">
      <c r="A1233" t="s">
        <v>1839</v>
      </c>
      <c r="B1233" s="44">
        <v>2087</v>
      </c>
      <c r="C1233">
        <v>-8</v>
      </c>
    </row>
    <row r="1234" spans="1:3" x14ac:dyDescent="0.25">
      <c r="A1234" t="s">
        <v>1840</v>
      </c>
      <c r="B1234" s="44">
        <v>2087</v>
      </c>
      <c r="C1234">
        <v>-8</v>
      </c>
    </row>
    <row r="1235" spans="1:3" x14ac:dyDescent="0.25">
      <c r="A1235" t="s">
        <v>1841</v>
      </c>
      <c r="B1235" s="44">
        <v>1988.9109999999998</v>
      </c>
      <c r="C1235">
        <v>-8</v>
      </c>
    </row>
    <row r="1236" spans="1:3" x14ac:dyDescent="0.25">
      <c r="A1236" t="s">
        <v>1842</v>
      </c>
      <c r="B1236" s="44">
        <v>2087</v>
      </c>
      <c r="C1236">
        <v>-9</v>
      </c>
    </row>
    <row r="1237" spans="1:3" x14ac:dyDescent="0.25">
      <c r="A1237" t="s">
        <v>1843</v>
      </c>
      <c r="B1237" s="44">
        <v>2087</v>
      </c>
      <c r="C1237">
        <v>-8</v>
      </c>
    </row>
    <row r="1238" spans="1:3" x14ac:dyDescent="0.25">
      <c r="A1238" t="s">
        <v>1844</v>
      </c>
      <c r="B1238" s="44">
        <v>2087</v>
      </c>
      <c r="C1238">
        <v>-8</v>
      </c>
    </row>
    <row r="1239" spans="1:3" x14ac:dyDescent="0.25">
      <c r="A1239" t="s">
        <v>1845</v>
      </c>
      <c r="B1239" s="44">
        <v>2087</v>
      </c>
      <c r="C1239">
        <v>-9</v>
      </c>
    </row>
    <row r="1240" spans="1:3" x14ac:dyDescent="0.25">
      <c r="A1240" t="s">
        <v>1846</v>
      </c>
      <c r="B1240" s="44">
        <v>2087</v>
      </c>
      <c r="C1240">
        <v>-8</v>
      </c>
    </row>
    <row r="1241" spans="1:3" x14ac:dyDescent="0.25">
      <c r="A1241" t="s">
        <v>1847</v>
      </c>
      <c r="B1241" s="44">
        <v>1988.9109999999998</v>
      </c>
      <c r="C1241">
        <v>-8</v>
      </c>
    </row>
    <row r="1242" spans="1:3" x14ac:dyDescent="0.25">
      <c r="A1242" t="s">
        <v>1848</v>
      </c>
      <c r="B1242" s="44">
        <v>2087</v>
      </c>
      <c r="C1242">
        <v>-8</v>
      </c>
    </row>
    <row r="1243" spans="1:3" x14ac:dyDescent="0.25">
      <c r="A1243" t="s">
        <v>1849</v>
      </c>
      <c r="B1243" s="44">
        <v>2087</v>
      </c>
      <c r="C1243">
        <v>-8</v>
      </c>
    </row>
    <row r="1244" spans="1:3" x14ac:dyDescent="0.25">
      <c r="A1244" t="s">
        <v>1850</v>
      </c>
      <c r="B1244" s="44">
        <v>1988.9109999999998</v>
      </c>
      <c r="C1244">
        <v>-8</v>
      </c>
    </row>
    <row r="1245" spans="1:3" x14ac:dyDescent="0.25">
      <c r="A1245" t="s">
        <v>1851</v>
      </c>
      <c r="B1245" s="44">
        <v>1988.9109999999998</v>
      </c>
      <c r="C1245">
        <v>-8</v>
      </c>
    </row>
    <row r="1246" spans="1:3" x14ac:dyDescent="0.25">
      <c r="A1246" t="s">
        <v>1852</v>
      </c>
      <c r="B1246" s="44">
        <v>1988.9109999999998</v>
      </c>
      <c r="C1246">
        <v>-8</v>
      </c>
    </row>
    <row r="1247" spans="1:3" x14ac:dyDescent="0.25">
      <c r="A1247" t="s">
        <v>1853</v>
      </c>
      <c r="B1247" s="44">
        <v>2087</v>
      </c>
      <c r="C1247">
        <v>-8</v>
      </c>
    </row>
    <row r="1248" spans="1:3" x14ac:dyDescent="0.25">
      <c r="A1248" t="s">
        <v>1854</v>
      </c>
      <c r="B1248" s="44">
        <v>2087</v>
      </c>
      <c r="C1248">
        <v>-8</v>
      </c>
    </row>
    <row r="1249" spans="1:3" x14ac:dyDescent="0.25">
      <c r="A1249" t="s">
        <v>1855</v>
      </c>
      <c r="B1249" s="44">
        <v>2087</v>
      </c>
      <c r="C1249">
        <v>-8</v>
      </c>
    </row>
    <row r="1250" spans="1:3" x14ac:dyDescent="0.25">
      <c r="A1250" t="s">
        <v>1856</v>
      </c>
      <c r="B1250" s="44">
        <v>1988.9109999999998</v>
      </c>
      <c r="C1250">
        <v>-8</v>
      </c>
    </row>
    <row r="1251" spans="1:3" x14ac:dyDescent="0.25">
      <c r="A1251" t="s">
        <v>1857</v>
      </c>
      <c r="B1251" s="44">
        <v>2087</v>
      </c>
      <c r="C1251">
        <v>-9</v>
      </c>
    </row>
    <row r="1252" spans="1:3" x14ac:dyDescent="0.25">
      <c r="A1252" t="s">
        <v>1858</v>
      </c>
      <c r="B1252" s="44">
        <v>2087</v>
      </c>
      <c r="C1252">
        <v>-8</v>
      </c>
    </row>
    <row r="1253" spans="1:3" x14ac:dyDescent="0.25">
      <c r="A1253" t="s">
        <v>1859</v>
      </c>
      <c r="B1253" s="44">
        <v>2087</v>
      </c>
      <c r="C1253">
        <v>-8</v>
      </c>
    </row>
    <row r="1254" spans="1:3" x14ac:dyDescent="0.25">
      <c r="A1254" t="s">
        <v>1860</v>
      </c>
      <c r="B1254" s="44">
        <v>2379.1800000000003</v>
      </c>
      <c r="C1254">
        <v>-11</v>
      </c>
    </row>
    <row r="1255" spans="1:3" x14ac:dyDescent="0.25">
      <c r="A1255" t="s">
        <v>1861</v>
      </c>
      <c r="B1255" s="44">
        <v>2185.0889999999999</v>
      </c>
      <c r="C1255">
        <v>-9</v>
      </c>
    </row>
    <row r="1256" spans="1:3" x14ac:dyDescent="0.25">
      <c r="A1256" t="s">
        <v>1862</v>
      </c>
      <c r="B1256" s="44">
        <v>2185.0889999999999</v>
      </c>
      <c r="C1256">
        <v>-9</v>
      </c>
    </row>
    <row r="1257" spans="1:3" x14ac:dyDescent="0.25">
      <c r="A1257" t="s">
        <v>1863</v>
      </c>
      <c r="B1257" s="44">
        <v>2087</v>
      </c>
      <c r="C1257">
        <v>-8</v>
      </c>
    </row>
    <row r="1258" spans="1:3" x14ac:dyDescent="0.25">
      <c r="A1258" t="s">
        <v>1864</v>
      </c>
      <c r="B1258" s="44">
        <v>2185.0889999999999</v>
      </c>
      <c r="C1258">
        <v>-8</v>
      </c>
    </row>
    <row r="1259" spans="1:3" x14ac:dyDescent="0.25">
      <c r="A1259" t="s">
        <v>1865</v>
      </c>
      <c r="B1259" s="44">
        <v>2185.0889999999999</v>
      </c>
      <c r="C1259">
        <v>-9</v>
      </c>
    </row>
    <row r="1260" spans="1:3" x14ac:dyDescent="0.25">
      <c r="A1260" t="s">
        <v>1866</v>
      </c>
      <c r="B1260" s="44">
        <v>2548.2270000000003</v>
      </c>
      <c r="C1260">
        <v>-10</v>
      </c>
    </row>
    <row r="1261" spans="1:3" x14ac:dyDescent="0.25">
      <c r="A1261" t="s">
        <v>1867</v>
      </c>
      <c r="B1261" s="44">
        <v>2087</v>
      </c>
      <c r="C1261">
        <v>-8</v>
      </c>
    </row>
    <row r="1262" spans="1:3" x14ac:dyDescent="0.25">
      <c r="A1262" t="s">
        <v>1868</v>
      </c>
      <c r="B1262" s="44">
        <v>2379.1800000000003</v>
      </c>
      <c r="C1262">
        <v>-10</v>
      </c>
    </row>
    <row r="1263" spans="1:3" x14ac:dyDescent="0.25">
      <c r="A1263" t="s">
        <v>1869</v>
      </c>
      <c r="B1263" s="44">
        <v>2379.1800000000003</v>
      </c>
      <c r="C1263">
        <v>-10</v>
      </c>
    </row>
    <row r="1264" spans="1:3" x14ac:dyDescent="0.25">
      <c r="A1264" t="s">
        <v>1870</v>
      </c>
      <c r="B1264" s="44">
        <v>2087</v>
      </c>
      <c r="C1264">
        <v>-9</v>
      </c>
    </row>
    <row r="1265" spans="1:3" x14ac:dyDescent="0.25">
      <c r="A1265" t="s">
        <v>1871</v>
      </c>
      <c r="B1265" s="44">
        <v>2087</v>
      </c>
      <c r="C1265">
        <v>-8</v>
      </c>
    </row>
    <row r="1266" spans="1:3" x14ac:dyDescent="0.25">
      <c r="A1266" t="s">
        <v>1872</v>
      </c>
      <c r="B1266" s="44">
        <v>1988.9109999999998</v>
      </c>
      <c r="C1266">
        <v>-8</v>
      </c>
    </row>
    <row r="1267" spans="1:3" x14ac:dyDescent="0.25">
      <c r="A1267" t="s">
        <v>1873</v>
      </c>
      <c r="B1267" s="44">
        <v>2185.0889999999999</v>
      </c>
      <c r="C1267">
        <v>-9</v>
      </c>
    </row>
    <row r="1268" spans="1:3" x14ac:dyDescent="0.25">
      <c r="A1268" t="s">
        <v>1874</v>
      </c>
      <c r="B1268" s="44">
        <v>2790.319</v>
      </c>
      <c r="C1268">
        <v>-10</v>
      </c>
    </row>
    <row r="1269" spans="1:3" x14ac:dyDescent="0.25">
      <c r="A1269" t="s">
        <v>1875</v>
      </c>
      <c r="B1269" s="44">
        <v>2087</v>
      </c>
      <c r="C1269">
        <v>-8</v>
      </c>
    </row>
    <row r="1270" spans="1:3" x14ac:dyDescent="0.25">
      <c r="A1270" t="s">
        <v>1876</v>
      </c>
      <c r="B1270" s="44">
        <v>2087</v>
      </c>
      <c r="C1270">
        <v>-8</v>
      </c>
    </row>
    <row r="1271" spans="1:3" x14ac:dyDescent="0.25">
      <c r="A1271" t="s">
        <v>1877</v>
      </c>
      <c r="B1271" s="44">
        <v>2790.319</v>
      </c>
      <c r="C1271">
        <v>-11</v>
      </c>
    </row>
    <row r="1272" spans="1:3" x14ac:dyDescent="0.25">
      <c r="A1272" t="s">
        <v>1878</v>
      </c>
      <c r="B1272" s="44">
        <v>2087</v>
      </c>
      <c r="C1272">
        <v>-8</v>
      </c>
    </row>
    <row r="1273" spans="1:3" x14ac:dyDescent="0.25">
      <c r="A1273" t="s">
        <v>1879</v>
      </c>
      <c r="B1273" s="44">
        <v>2087</v>
      </c>
      <c r="C1273">
        <v>-8</v>
      </c>
    </row>
    <row r="1274" spans="1:3" x14ac:dyDescent="0.25">
      <c r="A1274" t="s">
        <v>1880</v>
      </c>
      <c r="B1274" s="44">
        <v>2087</v>
      </c>
      <c r="C1274">
        <v>-8</v>
      </c>
    </row>
    <row r="1275" spans="1:3" x14ac:dyDescent="0.25">
      <c r="A1275" t="s">
        <v>1881</v>
      </c>
      <c r="B1275" s="44">
        <v>2379.1800000000003</v>
      </c>
      <c r="C1275">
        <v>-10</v>
      </c>
    </row>
    <row r="1276" spans="1:3" x14ac:dyDescent="0.25">
      <c r="A1276" t="s">
        <v>1882</v>
      </c>
      <c r="B1276" s="44">
        <v>2185.0889999999999</v>
      </c>
      <c r="C1276">
        <v>-9</v>
      </c>
    </row>
    <row r="1277" spans="1:3" x14ac:dyDescent="0.25">
      <c r="A1277" t="s">
        <v>1883</v>
      </c>
      <c r="B1277" s="44">
        <v>2185.0889999999999</v>
      </c>
      <c r="C1277">
        <v>-9</v>
      </c>
    </row>
    <row r="1278" spans="1:3" x14ac:dyDescent="0.25">
      <c r="A1278" t="s">
        <v>1884</v>
      </c>
      <c r="B1278" s="44">
        <v>2185.0889999999999</v>
      </c>
      <c r="C1278">
        <v>-9</v>
      </c>
    </row>
    <row r="1279" spans="1:3" x14ac:dyDescent="0.25">
      <c r="A1279" t="s">
        <v>1885</v>
      </c>
      <c r="B1279" s="44">
        <v>2379.1800000000003</v>
      </c>
      <c r="C1279">
        <v>-10</v>
      </c>
    </row>
    <row r="1280" spans="1:3" x14ac:dyDescent="0.25">
      <c r="A1280" t="s">
        <v>1886</v>
      </c>
      <c r="B1280" s="44">
        <v>1988.9109999999998</v>
      </c>
      <c r="C1280">
        <v>-8</v>
      </c>
    </row>
    <row r="1281" spans="1:3" x14ac:dyDescent="0.25">
      <c r="A1281" t="s">
        <v>1887</v>
      </c>
      <c r="B1281" s="44">
        <v>2185.0889999999999</v>
      </c>
      <c r="C1281">
        <v>-8</v>
      </c>
    </row>
    <row r="1282" spans="1:3" x14ac:dyDescent="0.25">
      <c r="A1282" t="s">
        <v>1888</v>
      </c>
      <c r="B1282" s="44">
        <v>2185.0889999999999</v>
      </c>
      <c r="C1282">
        <v>-8</v>
      </c>
    </row>
    <row r="1283" spans="1:3" x14ac:dyDescent="0.25">
      <c r="A1283" t="s">
        <v>1889</v>
      </c>
      <c r="B1283" s="44">
        <v>1988.9109999999998</v>
      </c>
      <c r="C1283">
        <v>-8</v>
      </c>
    </row>
    <row r="1284" spans="1:3" x14ac:dyDescent="0.25">
      <c r="A1284" t="s">
        <v>1890</v>
      </c>
      <c r="B1284" s="44">
        <v>2281.0909999999999</v>
      </c>
      <c r="C1284">
        <v>-9</v>
      </c>
    </row>
    <row r="1285" spans="1:3" x14ac:dyDescent="0.25">
      <c r="A1285" t="s">
        <v>1891</v>
      </c>
      <c r="B1285" s="44">
        <v>2087</v>
      </c>
      <c r="C1285">
        <v>-8</v>
      </c>
    </row>
    <row r="1286" spans="1:3" x14ac:dyDescent="0.25">
      <c r="A1286" t="s">
        <v>1892</v>
      </c>
      <c r="B1286" s="44">
        <v>2281.0909999999999</v>
      </c>
      <c r="C1286">
        <v>-9</v>
      </c>
    </row>
    <row r="1287" spans="1:3" x14ac:dyDescent="0.25">
      <c r="A1287" t="s">
        <v>1893</v>
      </c>
      <c r="B1287" s="44">
        <v>1988.9109999999998</v>
      </c>
      <c r="C1287">
        <v>-8</v>
      </c>
    </row>
    <row r="1288" spans="1:3" x14ac:dyDescent="0.25">
      <c r="A1288" t="s">
        <v>1894</v>
      </c>
      <c r="B1288" s="44">
        <v>2281.0909999999999</v>
      </c>
      <c r="C1288">
        <v>-9</v>
      </c>
    </row>
    <row r="1289" spans="1:3" x14ac:dyDescent="0.25">
      <c r="A1289" t="s">
        <v>1895</v>
      </c>
      <c r="B1289" s="44">
        <v>2087</v>
      </c>
      <c r="C1289">
        <v>-8</v>
      </c>
    </row>
    <row r="1290" spans="1:3" x14ac:dyDescent="0.25">
      <c r="A1290" t="s">
        <v>1896</v>
      </c>
      <c r="B1290" s="44">
        <v>1988.9109999999998</v>
      </c>
      <c r="C1290">
        <v>-8</v>
      </c>
    </row>
    <row r="1291" spans="1:3" x14ac:dyDescent="0.25">
      <c r="A1291" t="s">
        <v>1897</v>
      </c>
      <c r="B1291" s="44">
        <v>1988.9109999999998</v>
      </c>
      <c r="C1291">
        <v>-8</v>
      </c>
    </row>
    <row r="1292" spans="1:3" x14ac:dyDescent="0.25">
      <c r="A1292" t="s">
        <v>1898</v>
      </c>
      <c r="B1292" s="44">
        <v>2185.0889999999999</v>
      </c>
      <c r="C1292">
        <v>-9</v>
      </c>
    </row>
    <row r="1293" spans="1:3" x14ac:dyDescent="0.25">
      <c r="A1293" t="s">
        <v>1899</v>
      </c>
      <c r="B1293" s="44">
        <v>2087</v>
      </c>
      <c r="C1293">
        <v>-8</v>
      </c>
    </row>
    <row r="1294" spans="1:3" x14ac:dyDescent="0.25">
      <c r="A1294" t="s">
        <v>1900</v>
      </c>
      <c r="B1294" s="44">
        <v>2185.0889999999999</v>
      </c>
      <c r="C1294">
        <v>-9</v>
      </c>
    </row>
    <row r="1295" spans="1:3" x14ac:dyDescent="0.25">
      <c r="A1295" t="s">
        <v>1901</v>
      </c>
      <c r="B1295" s="44">
        <v>2185.0889999999999</v>
      </c>
      <c r="C1295">
        <v>-9</v>
      </c>
    </row>
    <row r="1296" spans="1:3" x14ac:dyDescent="0.25">
      <c r="A1296" t="s">
        <v>1902</v>
      </c>
      <c r="B1296" s="44">
        <v>2087</v>
      </c>
      <c r="C1296">
        <v>-8</v>
      </c>
    </row>
    <row r="1297" spans="1:3" x14ac:dyDescent="0.25">
      <c r="A1297" t="s">
        <v>1903</v>
      </c>
      <c r="B1297" s="44">
        <v>1988.9109999999998</v>
      </c>
      <c r="C1297">
        <v>-8</v>
      </c>
    </row>
    <row r="1298" spans="1:3" x14ac:dyDescent="0.25">
      <c r="A1298" t="s">
        <v>1904</v>
      </c>
      <c r="B1298" s="44">
        <v>2087</v>
      </c>
      <c r="C1298">
        <v>-8</v>
      </c>
    </row>
    <row r="1299" spans="1:3" x14ac:dyDescent="0.25">
      <c r="A1299" t="s">
        <v>1905</v>
      </c>
      <c r="B1299" s="44">
        <v>2087</v>
      </c>
      <c r="C1299">
        <v>-8</v>
      </c>
    </row>
    <row r="1300" spans="1:3" x14ac:dyDescent="0.25">
      <c r="A1300" t="s">
        <v>1906</v>
      </c>
      <c r="B1300" s="44">
        <v>2087</v>
      </c>
      <c r="C1300">
        <v>-8</v>
      </c>
    </row>
    <row r="1301" spans="1:3" x14ac:dyDescent="0.25">
      <c r="A1301" t="s">
        <v>1907</v>
      </c>
      <c r="B1301" s="44">
        <v>2185.0889999999999</v>
      </c>
      <c r="C1301">
        <v>-9</v>
      </c>
    </row>
    <row r="1302" spans="1:3" x14ac:dyDescent="0.25">
      <c r="A1302" t="s">
        <v>1908</v>
      </c>
      <c r="B1302" s="44">
        <v>2379.1800000000003</v>
      </c>
      <c r="C1302">
        <v>-10</v>
      </c>
    </row>
    <row r="1303" spans="1:3" x14ac:dyDescent="0.25">
      <c r="A1303" t="s">
        <v>1909</v>
      </c>
      <c r="B1303" s="44">
        <v>2185.0889999999999</v>
      </c>
      <c r="C1303">
        <v>-8</v>
      </c>
    </row>
    <row r="1304" spans="1:3" x14ac:dyDescent="0.25">
      <c r="A1304" t="s">
        <v>1910</v>
      </c>
      <c r="B1304" s="44">
        <v>1988.9109999999998</v>
      </c>
      <c r="C1304">
        <v>-8</v>
      </c>
    </row>
    <row r="1305" spans="1:3" x14ac:dyDescent="0.25">
      <c r="A1305" t="s">
        <v>1911</v>
      </c>
      <c r="B1305" s="44">
        <v>2548.2270000000003</v>
      </c>
      <c r="C1305">
        <v>-11</v>
      </c>
    </row>
    <row r="1306" spans="1:3" x14ac:dyDescent="0.25">
      <c r="A1306" t="s">
        <v>1912</v>
      </c>
      <c r="B1306" s="44">
        <v>2379.1800000000003</v>
      </c>
      <c r="C1306">
        <v>-10</v>
      </c>
    </row>
    <row r="1307" spans="1:3" x14ac:dyDescent="0.25">
      <c r="A1307" t="s">
        <v>1913</v>
      </c>
      <c r="B1307" s="44">
        <v>2281.0909999999999</v>
      </c>
      <c r="C1307">
        <v>-9</v>
      </c>
    </row>
    <row r="1308" spans="1:3" x14ac:dyDescent="0.25">
      <c r="A1308" t="s">
        <v>1914</v>
      </c>
      <c r="B1308" s="44">
        <v>2281.0909999999999</v>
      </c>
      <c r="C1308">
        <v>-9</v>
      </c>
    </row>
    <row r="1309" spans="1:3" x14ac:dyDescent="0.25">
      <c r="A1309" t="s">
        <v>1915</v>
      </c>
      <c r="B1309" s="44">
        <v>2185.0889999999999</v>
      </c>
      <c r="C1309">
        <v>-8</v>
      </c>
    </row>
    <row r="1310" spans="1:3" x14ac:dyDescent="0.25">
      <c r="A1310" t="s">
        <v>1916</v>
      </c>
      <c r="B1310" s="44">
        <v>2379.1800000000003</v>
      </c>
      <c r="C1310">
        <v>-10</v>
      </c>
    </row>
    <row r="1311" spans="1:3" x14ac:dyDescent="0.25">
      <c r="A1311" t="s">
        <v>1917</v>
      </c>
      <c r="B1311" s="44">
        <v>1988.9109999999998</v>
      </c>
      <c r="C1311">
        <v>-8</v>
      </c>
    </row>
    <row r="1312" spans="1:3" x14ac:dyDescent="0.25">
      <c r="A1312" t="s">
        <v>1918</v>
      </c>
      <c r="B1312" s="44">
        <v>1988.9109999999998</v>
      </c>
      <c r="C1312">
        <v>-8</v>
      </c>
    </row>
    <row r="1313" spans="1:3" x14ac:dyDescent="0.25">
      <c r="A1313" t="s">
        <v>1919</v>
      </c>
      <c r="B1313" s="44">
        <v>1988.9109999999998</v>
      </c>
      <c r="C1313">
        <v>-8</v>
      </c>
    </row>
    <row r="1314" spans="1:3" x14ac:dyDescent="0.25">
      <c r="A1314" t="s">
        <v>1920</v>
      </c>
      <c r="B1314" s="44">
        <v>1988.9109999999998</v>
      </c>
      <c r="C1314">
        <v>-8</v>
      </c>
    </row>
    <row r="1315" spans="1:3" x14ac:dyDescent="0.25">
      <c r="A1315" t="s">
        <v>1921</v>
      </c>
      <c r="B1315" s="44">
        <v>2087</v>
      </c>
      <c r="C1315">
        <v>-8</v>
      </c>
    </row>
    <row r="1316" spans="1:3" x14ac:dyDescent="0.25">
      <c r="A1316" t="s">
        <v>1922</v>
      </c>
      <c r="B1316" s="44">
        <v>2087</v>
      </c>
      <c r="C1316">
        <v>-8</v>
      </c>
    </row>
    <row r="1317" spans="1:3" x14ac:dyDescent="0.25">
      <c r="A1317" t="s">
        <v>1923</v>
      </c>
      <c r="B1317" s="44">
        <v>2185.0889999999999</v>
      </c>
      <c r="C1317">
        <v>-9</v>
      </c>
    </row>
    <row r="1318" spans="1:3" x14ac:dyDescent="0.25">
      <c r="A1318" t="s">
        <v>1924</v>
      </c>
      <c r="B1318" s="44">
        <v>2087</v>
      </c>
      <c r="C1318">
        <v>-8</v>
      </c>
    </row>
    <row r="1319" spans="1:3" x14ac:dyDescent="0.25">
      <c r="A1319" t="s">
        <v>1925</v>
      </c>
      <c r="B1319" s="44">
        <v>2185.0889999999999</v>
      </c>
      <c r="C1319">
        <v>-9</v>
      </c>
    </row>
    <row r="1320" spans="1:3" x14ac:dyDescent="0.25">
      <c r="A1320" t="s">
        <v>1926</v>
      </c>
      <c r="B1320" s="44">
        <v>1988.9109999999998</v>
      </c>
      <c r="C1320">
        <v>-8</v>
      </c>
    </row>
    <row r="1321" spans="1:3" x14ac:dyDescent="0.25">
      <c r="A1321" t="s">
        <v>1927</v>
      </c>
      <c r="B1321" s="44">
        <v>2087</v>
      </c>
      <c r="C1321">
        <v>-8</v>
      </c>
    </row>
    <row r="1322" spans="1:3" x14ac:dyDescent="0.25">
      <c r="A1322" t="s">
        <v>1928</v>
      </c>
      <c r="B1322" s="44">
        <v>1892.9090000000001</v>
      </c>
      <c r="C1322">
        <v>-7</v>
      </c>
    </row>
    <row r="1323" spans="1:3" x14ac:dyDescent="0.25">
      <c r="A1323" t="s">
        <v>1929</v>
      </c>
      <c r="B1323" s="44">
        <v>2790.319</v>
      </c>
      <c r="C1323">
        <v>-11</v>
      </c>
    </row>
    <row r="1324" spans="1:3" x14ac:dyDescent="0.25">
      <c r="A1324" t="s">
        <v>1930</v>
      </c>
      <c r="B1324" s="44">
        <v>2379.1800000000003</v>
      </c>
      <c r="C1324">
        <v>-10</v>
      </c>
    </row>
    <row r="1325" spans="1:3" x14ac:dyDescent="0.25">
      <c r="A1325" t="s">
        <v>1931</v>
      </c>
      <c r="B1325" s="44">
        <v>1892.9090000000001</v>
      </c>
      <c r="C1325">
        <v>-8</v>
      </c>
    </row>
    <row r="1326" spans="1:3" x14ac:dyDescent="0.25">
      <c r="A1326" t="s">
        <v>1932</v>
      </c>
      <c r="B1326" s="44">
        <v>1892.9090000000001</v>
      </c>
      <c r="C1326">
        <v>-7</v>
      </c>
    </row>
    <row r="1327" spans="1:3" x14ac:dyDescent="0.25">
      <c r="A1327" t="s">
        <v>1933</v>
      </c>
      <c r="B1327" s="44">
        <v>2087</v>
      </c>
      <c r="C1327">
        <v>-8</v>
      </c>
    </row>
    <row r="1328" spans="1:3" x14ac:dyDescent="0.25">
      <c r="A1328" t="s">
        <v>1934</v>
      </c>
      <c r="B1328" s="44">
        <v>1988.9109999999998</v>
      </c>
      <c r="C1328">
        <v>-8</v>
      </c>
    </row>
    <row r="1329" spans="1:3" x14ac:dyDescent="0.25">
      <c r="A1329" t="s">
        <v>1935</v>
      </c>
      <c r="B1329" s="44">
        <v>1988.9109999999998</v>
      </c>
      <c r="C1329">
        <v>-8</v>
      </c>
    </row>
    <row r="1330" spans="1:3" x14ac:dyDescent="0.25">
      <c r="A1330" t="s">
        <v>1936</v>
      </c>
      <c r="B1330" s="44">
        <v>1988.9109999999998</v>
      </c>
      <c r="C1330">
        <v>-8</v>
      </c>
    </row>
    <row r="1331" spans="1:3" x14ac:dyDescent="0.25">
      <c r="A1331" t="s">
        <v>1937</v>
      </c>
      <c r="B1331" s="44">
        <v>2087</v>
      </c>
      <c r="C1331">
        <v>-8</v>
      </c>
    </row>
    <row r="1332" spans="1:3" x14ac:dyDescent="0.25">
      <c r="A1332" t="s">
        <v>1938</v>
      </c>
      <c r="B1332" s="44">
        <v>2185.0889999999999</v>
      </c>
      <c r="C1332">
        <v>-9</v>
      </c>
    </row>
    <row r="1333" spans="1:3" x14ac:dyDescent="0.25">
      <c r="A1333" t="s">
        <v>1939</v>
      </c>
      <c r="B1333" s="44">
        <v>2185.0889999999999</v>
      </c>
      <c r="C1333">
        <v>-9</v>
      </c>
    </row>
    <row r="1334" spans="1:3" x14ac:dyDescent="0.25">
      <c r="A1334" t="s">
        <v>1940</v>
      </c>
      <c r="B1334" s="44">
        <v>2185.0889999999999</v>
      </c>
      <c r="C1334">
        <v>-8</v>
      </c>
    </row>
    <row r="1335" spans="1:3" x14ac:dyDescent="0.25">
      <c r="A1335" t="s">
        <v>1941</v>
      </c>
      <c r="B1335" s="44">
        <v>2087</v>
      </c>
      <c r="C1335">
        <v>-8</v>
      </c>
    </row>
    <row r="1336" spans="1:3" x14ac:dyDescent="0.25">
      <c r="A1336" t="s">
        <v>1942</v>
      </c>
      <c r="B1336" s="44">
        <v>2087</v>
      </c>
      <c r="C1336">
        <v>-9</v>
      </c>
    </row>
    <row r="1337" spans="1:3" x14ac:dyDescent="0.25">
      <c r="A1337" t="s">
        <v>1943</v>
      </c>
      <c r="B1337" s="44">
        <v>2281.0909999999999</v>
      </c>
      <c r="C1337">
        <v>-10</v>
      </c>
    </row>
    <row r="1338" spans="1:3" x14ac:dyDescent="0.25">
      <c r="A1338" t="s">
        <v>1944</v>
      </c>
      <c r="B1338" s="44">
        <v>2790.319</v>
      </c>
      <c r="C1338">
        <v>-10</v>
      </c>
    </row>
    <row r="1339" spans="1:3" x14ac:dyDescent="0.25">
      <c r="A1339" t="s">
        <v>1945</v>
      </c>
      <c r="B1339" s="44">
        <v>2548.2270000000003</v>
      </c>
      <c r="C1339">
        <v>-10</v>
      </c>
    </row>
    <row r="1340" spans="1:3" x14ac:dyDescent="0.25">
      <c r="A1340" t="s">
        <v>1946</v>
      </c>
      <c r="B1340" s="44">
        <v>2185.0889999999999</v>
      </c>
      <c r="C1340">
        <v>-9</v>
      </c>
    </row>
    <row r="1341" spans="1:3" x14ac:dyDescent="0.25">
      <c r="A1341" t="s">
        <v>1947</v>
      </c>
      <c r="B1341" s="44">
        <v>2185.0889999999999</v>
      </c>
      <c r="C1341">
        <v>-9</v>
      </c>
    </row>
    <row r="1342" spans="1:3" x14ac:dyDescent="0.25">
      <c r="A1342" t="s">
        <v>1948</v>
      </c>
      <c r="B1342" s="44">
        <v>2087</v>
      </c>
      <c r="C1342">
        <v>-8</v>
      </c>
    </row>
    <row r="1343" spans="1:3" x14ac:dyDescent="0.25">
      <c r="A1343" t="s">
        <v>1949</v>
      </c>
      <c r="B1343" s="44">
        <v>2087</v>
      </c>
      <c r="C1343">
        <v>-8</v>
      </c>
    </row>
    <row r="1344" spans="1:3" x14ac:dyDescent="0.25">
      <c r="A1344" t="s">
        <v>1950</v>
      </c>
      <c r="B1344" s="44">
        <v>2379.1800000000003</v>
      </c>
      <c r="C1344">
        <v>-10</v>
      </c>
    </row>
    <row r="1345" spans="1:3" x14ac:dyDescent="0.25">
      <c r="A1345" t="s">
        <v>1951</v>
      </c>
      <c r="B1345" s="44">
        <v>2548.2270000000003</v>
      </c>
      <c r="C1345">
        <v>-10</v>
      </c>
    </row>
    <row r="1346" spans="1:3" x14ac:dyDescent="0.25">
      <c r="A1346" t="s">
        <v>1952</v>
      </c>
      <c r="B1346" s="44">
        <v>2281.0909999999999</v>
      </c>
      <c r="C1346">
        <v>-9</v>
      </c>
    </row>
    <row r="1347" spans="1:3" x14ac:dyDescent="0.25">
      <c r="A1347" t="s">
        <v>1953</v>
      </c>
      <c r="B1347" s="44">
        <v>2087</v>
      </c>
      <c r="C1347">
        <v>-8</v>
      </c>
    </row>
    <row r="1348" spans="1:3" x14ac:dyDescent="0.25">
      <c r="A1348" t="s">
        <v>1954</v>
      </c>
      <c r="B1348" s="44">
        <v>2281.0909999999999</v>
      </c>
      <c r="C1348">
        <v>-9</v>
      </c>
    </row>
    <row r="1349" spans="1:3" x14ac:dyDescent="0.25">
      <c r="A1349" t="s">
        <v>1955</v>
      </c>
      <c r="B1349" s="44">
        <v>2087</v>
      </c>
      <c r="C1349">
        <v>-8</v>
      </c>
    </row>
    <row r="1350" spans="1:3" x14ac:dyDescent="0.25">
      <c r="A1350" t="s">
        <v>1956</v>
      </c>
      <c r="B1350" s="44">
        <v>2185.0889999999999</v>
      </c>
      <c r="C1350">
        <v>-8</v>
      </c>
    </row>
    <row r="1351" spans="1:3" x14ac:dyDescent="0.25">
      <c r="A1351" t="s">
        <v>1957</v>
      </c>
      <c r="B1351" s="44">
        <v>2087</v>
      </c>
      <c r="C1351">
        <v>-8</v>
      </c>
    </row>
    <row r="1352" spans="1:3" x14ac:dyDescent="0.25">
      <c r="A1352" t="s">
        <v>1958</v>
      </c>
      <c r="B1352" s="44">
        <v>2185.0889999999999</v>
      </c>
      <c r="C1352">
        <v>-9</v>
      </c>
    </row>
    <row r="1353" spans="1:3" x14ac:dyDescent="0.25">
      <c r="A1353" t="s">
        <v>1958</v>
      </c>
      <c r="B1353" s="44">
        <v>2087</v>
      </c>
      <c r="C1353">
        <v>-8</v>
      </c>
    </row>
    <row r="1354" spans="1:3" x14ac:dyDescent="0.25">
      <c r="A1354" t="s">
        <v>1959</v>
      </c>
      <c r="B1354" s="44">
        <v>2087</v>
      </c>
      <c r="C1354">
        <v>-8</v>
      </c>
    </row>
    <row r="1355" spans="1:3" x14ac:dyDescent="0.25">
      <c r="A1355" t="s">
        <v>1960</v>
      </c>
      <c r="B1355" s="44">
        <v>2185.0889999999999</v>
      </c>
      <c r="C1355">
        <v>-8</v>
      </c>
    </row>
    <row r="1356" spans="1:3" x14ac:dyDescent="0.25">
      <c r="A1356" t="s">
        <v>1961</v>
      </c>
      <c r="B1356" s="44">
        <v>2281.0909999999999</v>
      </c>
      <c r="C1356">
        <v>-9</v>
      </c>
    </row>
    <row r="1357" spans="1:3" x14ac:dyDescent="0.25">
      <c r="A1357" t="s">
        <v>1962</v>
      </c>
      <c r="B1357" s="44">
        <v>2185.0889999999999</v>
      </c>
      <c r="C1357">
        <v>-9</v>
      </c>
    </row>
    <row r="1358" spans="1:3" x14ac:dyDescent="0.25">
      <c r="A1358" t="s">
        <v>1963</v>
      </c>
      <c r="B1358" s="44">
        <v>2548.2270000000003</v>
      </c>
      <c r="C1358">
        <v>-11</v>
      </c>
    </row>
    <row r="1359" spans="1:3" x14ac:dyDescent="0.25">
      <c r="A1359" t="s">
        <v>1964</v>
      </c>
      <c r="B1359" s="44">
        <v>2790.319</v>
      </c>
      <c r="C1359">
        <v>-11</v>
      </c>
    </row>
    <row r="1360" spans="1:3" x14ac:dyDescent="0.25">
      <c r="A1360" t="s">
        <v>1965</v>
      </c>
      <c r="B1360" s="44">
        <v>2790.319</v>
      </c>
      <c r="C1360">
        <v>-11</v>
      </c>
    </row>
    <row r="1361" spans="1:3" x14ac:dyDescent="0.25">
      <c r="A1361" t="s">
        <v>1966</v>
      </c>
      <c r="B1361" s="44">
        <v>2087</v>
      </c>
      <c r="C1361">
        <v>-9</v>
      </c>
    </row>
    <row r="1362" spans="1:3" x14ac:dyDescent="0.25">
      <c r="A1362" t="s">
        <v>1967</v>
      </c>
      <c r="B1362" s="44">
        <v>1988.9109999999998</v>
      </c>
      <c r="C1362">
        <v>-8</v>
      </c>
    </row>
    <row r="1363" spans="1:3" x14ac:dyDescent="0.25">
      <c r="A1363" t="s">
        <v>1968</v>
      </c>
      <c r="B1363" s="44">
        <v>2087</v>
      </c>
      <c r="C1363">
        <v>-8</v>
      </c>
    </row>
    <row r="1364" spans="1:3" x14ac:dyDescent="0.25">
      <c r="A1364" t="s">
        <v>1969</v>
      </c>
      <c r="B1364" s="44">
        <v>2087</v>
      </c>
      <c r="C1364">
        <v>-8</v>
      </c>
    </row>
    <row r="1365" spans="1:3" x14ac:dyDescent="0.25">
      <c r="A1365" t="s">
        <v>1970</v>
      </c>
      <c r="B1365" s="44">
        <v>2185.0889999999999</v>
      </c>
      <c r="C1365">
        <v>-9</v>
      </c>
    </row>
    <row r="1366" spans="1:3" x14ac:dyDescent="0.25">
      <c r="A1366" t="s">
        <v>1971</v>
      </c>
      <c r="B1366" s="44">
        <v>1988.9109999999998</v>
      </c>
      <c r="C1366">
        <v>-8</v>
      </c>
    </row>
    <row r="1367" spans="1:3" x14ac:dyDescent="0.25">
      <c r="A1367" t="s">
        <v>1972</v>
      </c>
      <c r="B1367" s="44">
        <v>2087</v>
      </c>
      <c r="C1367">
        <v>-8</v>
      </c>
    </row>
    <row r="1368" spans="1:3" x14ac:dyDescent="0.25">
      <c r="A1368" t="s">
        <v>1973</v>
      </c>
      <c r="B1368" s="44">
        <v>2548.2270000000003</v>
      </c>
      <c r="C1368">
        <v>-11</v>
      </c>
    </row>
    <row r="1369" spans="1:3" x14ac:dyDescent="0.25">
      <c r="A1369" t="s">
        <v>1974</v>
      </c>
      <c r="B1369" s="44">
        <v>2185.0889999999999</v>
      </c>
      <c r="C1369">
        <v>-9</v>
      </c>
    </row>
    <row r="1370" spans="1:3" x14ac:dyDescent="0.25">
      <c r="A1370" t="s">
        <v>1975</v>
      </c>
      <c r="B1370" s="44">
        <v>2185.0889999999999</v>
      </c>
      <c r="C1370">
        <v>-9</v>
      </c>
    </row>
    <row r="1371" spans="1:3" x14ac:dyDescent="0.25">
      <c r="A1371" t="s">
        <v>1976</v>
      </c>
      <c r="B1371" s="44">
        <v>1988.9109999999998</v>
      </c>
      <c r="C1371">
        <v>-8</v>
      </c>
    </row>
    <row r="1372" spans="1:3" x14ac:dyDescent="0.25">
      <c r="A1372" t="s">
        <v>1977</v>
      </c>
      <c r="B1372" s="44">
        <v>2087</v>
      </c>
      <c r="C1372">
        <v>-8</v>
      </c>
    </row>
    <row r="1373" spans="1:3" x14ac:dyDescent="0.25">
      <c r="A1373" t="s">
        <v>1978</v>
      </c>
      <c r="B1373" s="44">
        <v>2185.0889999999999</v>
      </c>
      <c r="C1373">
        <v>-9</v>
      </c>
    </row>
    <row r="1374" spans="1:3" x14ac:dyDescent="0.25">
      <c r="A1374" t="s">
        <v>1979</v>
      </c>
      <c r="B1374" s="44">
        <v>2185.0889999999999</v>
      </c>
      <c r="C1374">
        <v>-9</v>
      </c>
    </row>
    <row r="1375" spans="1:3" x14ac:dyDescent="0.25">
      <c r="A1375" t="s">
        <v>1980</v>
      </c>
      <c r="B1375" s="44">
        <v>2087</v>
      </c>
      <c r="C1375">
        <v>-9</v>
      </c>
    </row>
    <row r="1376" spans="1:3" x14ac:dyDescent="0.25">
      <c r="A1376" t="s">
        <v>1981</v>
      </c>
      <c r="B1376" s="44">
        <v>1988.9109999999998</v>
      </c>
      <c r="C1376">
        <v>-8</v>
      </c>
    </row>
    <row r="1377" spans="1:3" x14ac:dyDescent="0.25">
      <c r="A1377" t="s">
        <v>1982</v>
      </c>
      <c r="B1377" s="44">
        <v>2087</v>
      </c>
      <c r="C1377">
        <v>-9</v>
      </c>
    </row>
    <row r="1378" spans="1:3" x14ac:dyDescent="0.25">
      <c r="A1378" t="s">
        <v>1983</v>
      </c>
      <c r="B1378" s="44">
        <v>2087</v>
      </c>
      <c r="C1378">
        <v>-8</v>
      </c>
    </row>
    <row r="1379" spans="1:3" x14ac:dyDescent="0.25">
      <c r="A1379" t="s">
        <v>1984</v>
      </c>
      <c r="B1379" s="44">
        <v>2379.1800000000003</v>
      </c>
      <c r="C1379">
        <v>-10</v>
      </c>
    </row>
    <row r="1380" spans="1:3" x14ac:dyDescent="0.25">
      <c r="A1380" t="s">
        <v>1985</v>
      </c>
      <c r="B1380" s="44">
        <v>2087</v>
      </c>
      <c r="C1380">
        <v>-8</v>
      </c>
    </row>
    <row r="1381" spans="1:3" x14ac:dyDescent="0.25">
      <c r="A1381" t="s">
        <v>1986</v>
      </c>
      <c r="B1381" s="44">
        <v>2548.2270000000003</v>
      </c>
      <c r="C1381">
        <v>-11</v>
      </c>
    </row>
    <row r="1382" spans="1:3" x14ac:dyDescent="0.25">
      <c r="A1382" t="s">
        <v>1987</v>
      </c>
      <c r="B1382" s="44">
        <v>2185.0889999999999</v>
      </c>
      <c r="C1382">
        <v>-9</v>
      </c>
    </row>
    <row r="1383" spans="1:3" x14ac:dyDescent="0.25">
      <c r="A1383" t="s">
        <v>1988</v>
      </c>
      <c r="B1383" s="44">
        <v>2087</v>
      </c>
      <c r="C1383">
        <v>-9</v>
      </c>
    </row>
    <row r="1384" spans="1:3" x14ac:dyDescent="0.25">
      <c r="A1384" t="s">
        <v>1989</v>
      </c>
      <c r="B1384" s="44">
        <v>2281.0909999999999</v>
      </c>
      <c r="C1384">
        <v>-10</v>
      </c>
    </row>
    <row r="1385" spans="1:3" x14ac:dyDescent="0.25">
      <c r="A1385" t="s">
        <v>1990</v>
      </c>
      <c r="B1385" s="44">
        <v>2087</v>
      </c>
      <c r="C1385">
        <v>-8</v>
      </c>
    </row>
    <row r="1386" spans="1:3" x14ac:dyDescent="0.25">
      <c r="A1386" t="s">
        <v>1991</v>
      </c>
      <c r="B1386" s="44">
        <v>2087</v>
      </c>
      <c r="C1386">
        <v>-8</v>
      </c>
    </row>
    <row r="1387" spans="1:3" x14ac:dyDescent="0.25">
      <c r="A1387" t="s">
        <v>1992</v>
      </c>
      <c r="B1387" s="44">
        <v>2087</v>
      </c>
      <c r="C1387">
        <v>-9</v>
      </c>
    </row>
    <row r="1388" spans="1:3" x14ac:dyDescent="0.25">
      <c r="A1388" t="s">
        <v>1993</v>
      </c>
      <c r="B1388" s="44">
        <v>2087</v>
      </c>
      <c r="C1388">
        <v>-8</v>
      </c>
    </row>
    <row r="1389" spans="1:3" x14ac:dyDescent="0.25">
      <c r="A1389" t="s">
        <v>1994</v>
      </c>
      <c r="B1389" s="44">
        <v>1988.9109999999998</v>
      </c>
      <c r="C1389">
        <v>-8</v>
      </c>
    </row>
    <row r="1390" spans="1:3" x14ac:dyDescent="0.25">
      <c r="A1390" t="s">
        <v>1995</v>
      </c>
      <c r="B1390" s="44">
        <v>2087</v>
      </c>
      <c r="C1390">
        <v>-8</v>
      </c>
    </row>
    <row r="1391" spans="1:3" x14ac:dyDescent="0.25">
      <c r="A1391" t="s">
        <v>1996</v>
      </c>
      <c r="B1391" s="44">
        <v>1988.9109999999998</v>
      </c>
      <c r="C1391">
        <v>-8</v>
      </c>
    </row>
    <row r="1392" spans="1:3" x14ac:dyDescent="0.25">
      <c r="A1392" t="s">
        <v>1997</v>
      </c>
      <c r="B1392" s="44">
        <v>2281.0909999999999</v>
      </c>
      <c r="C1392">
        <v>-10</v>
      </c>
    </row>
    <row r="1393" spans="1:3" x14ac:dyDescent="0.25">
      <c r="A1393" t="s">
        <v>1998</v>
      </c>
      <c r="B1393" s="44">
        <v>1892.9090000000001</v>
      </c>
      <c r="C1393">
        <v>-7</v>
      </c>
    </row>
    <row r="1394" spans="1:3" x14ac:dyDescent="0.25">
      <c r="A1394" t="s">
        <v>1999</v>
      </c>
      <c r="B1394" s="44">
        <v>2281.0909999999999</v>
      </c>
      <c r="C1394">
        <v>-9</v>
      </c>
    </row>
    <row r="1395" spans="1:3" x14ac:dyDescent="0.25">
      <c r="A1395" t="s">
        <v>2000</v>
      </c>
      <c r="B1395" s="44">
        <v>2185.0889999999999</v>
      </c>
      <c r="C1395">
        <v>-9</v>
      </c>
    </row>
    <row r="1396" spans="1:3" x14ac:dyDescent="0.25">
      <c r="A1396" t="s">
        <v>2001</v>
      </c>
      <c r="B1396" s="44">
        <v>1988.9109999999998</v>
      </c>
      <c r="C1396">
        <v>-8</v>
      </c>
    </row>
    <row r="1397" spans="1:3" x14ac:dyDescent="0.25">
      <c r="A1397" t="s">
        <v>2002</v>
      </c>
      <c r="B1397" s="44">
        <v>1988.9109999999998</v>
      </c>
      <c r="C1397">
        <v>-8</v>
      </c>
    </row>
    <row r="1398" spans="1:3" x14ac:dyDescent="0.25">
      <c r="A1398" t="s">
        <v>2003</v>
      </c>
      <c r="B1398" s="44">
        <v>2281.0909999999999</v>
      </c>
      <c r="C1398">
        <v>-9</v>
      </c>
    </row>
    <row r="1399" spans="1:3" x14ac:dyDescent="0.25">
      <c r="A1399" t="s">
        <v>2004</v>
      </c>
      <c r="B1399" s="44">
        <v>1988.9109999999998</v>
      </c>
      <c r="C1399">
        <v>-8</v>
      </c>
    </row>
    <row r="1400" spans="1:3" x14ac:dyDescent="0.25">
      <c r="A1400" t="s">
        <v>2005</v>
      </c>
      <c r="B1400" s="44">
        <v>2185.0889999999999</v>
      </c>
      <c r="C1400">
        <v>-9</v>
      </c>
    </row>
    <row r="1401" spans="1:3" x14ac:dyDescent="0.25">
      <c r="A1401" t="s">
        <v>2006</v>
      </c>
      <c r="B1401" s="44">
        <v>2087</v>
      </c>
      <c r="C1401">
        <v>-9</v>
      </c>
    </row>
    <row r="1402" spans="1:3" x14ac:dyDescent="0.25">
      <c r="A1402" t="s">
        <v>2007</v>
      </c>
      <c r="B1402" s="44">
        <v>1988.9109999999998</v>
      </c>
      <c r="C1402">
        <v>-8</v>
      </c>
    </row>
    <row r="1403" spans="1:3" x14ac:dyDescent="0.25">
      <c r="A1403" t="s">
        <v>2008</v>
      </c>
      <c r="B1403" s="44">
        <v>1988.9109999999998</v>
      </c>
      <c r="C1403">
        <v>-8</v>
      </c>
    </row>
    <row r="1404" spans="1:3" x14ac:dyDescent="0.25">
      <c r="A1404" t="s">
        <v>2009</v>
      </c>
      <c r="B1404" s="44">
        <v>2087</v>
      </c>
      <c r="C1404">
        <v>-9</v>
      </c>
    </row>
    <row r="1405" spans="1:3" x14ac:dyDescent="0.25">
      <c r="A1405" t="s">
        <v>2010</v>
      </c>
      <c r="B1405" s="44">
        <v>1892.9090000000001</v>
      </c>
      <c r="C1405">
        <v>-7</v>
      </c>
    </row>
    <row r="1406" spans="1:3" x14ac:dyDescent="0.25">
      <c r="A1406" t="s">
        <v>2011</v>
      </c>
      <c r="B1406" s="44">
        <v>2087</v>
      </c>
      <c r="C1406">
        <v>-8</v>
      </c>
    </row>
    <row r="1407" spans="1:3" x14ac:dyDescent="0.25">
      <c r="A1407" t="s">
        <v>2012</v>
      </c>
      <c r="B1407" s="44">
        <v>2185.0889999999999</v>
      </c>
      <c r="C1407">
        <v>-9</v>
      </c>
    </row>
    <row r="1408" spans="1:3" x14ac:dyDescent="0.25">
      <c r="A1408" t="s">
        <v>2013</v>
      </c>
      <c r="B1408" s="44">
        <v>2790.319</v>
      </c>
      <c r="C1408">
        <v>-11</v>
      </c>
    </row>
    <row r="1409" spans="1:3" x14ac:dyDescent="0.25">
      <c r="A1409" t="s">
        <v>2014</v>
      </c>
      <c r="B1409" s="44">
        <v>2379.1800000000003</v>
      </c>
      <c r="C1409">
        <v>-10</v>
      </c>
    </row>
    <row r="1410" spans="1:3" x14ac:dyDescent="0.25">
      <c r="A1410" t="s">
        <v>2015</v>
      </c>
      <c r="B1410" s="44">
        <v>2548.2270000000003</v>
      </c>
      <c r="C1410">
        <v>-10</v>
      </c>
    </row>
    <row r="1411" spans="1:3" x14ac:dyDescent="0.25">
      <c r="A1411" t="s">
        <v>2016</v>
      </c>
      <c r="B1411" s="44">
        <v>2185.0889999999999</v>
      </c>
      <c r="C1411">
        <v>-9</v>
      </c>
    </row>
    <row r="1412" spans="1:3" x14ac:dyDescent="0.25">
      <c r="A1412" t="s">
        <v>2017</v>
      </c>
      <c r="B1412" s="44">
        <v>1988.9109999999998</v>
      </c>
      <c r="C1412">
        <v>-8</v>
      </c>
    </row>
    <row r="1413" spans="1:3" x14ac:dyDescent="0.25">
      <c r="A1413" t="s">
        <v>2018</v>
      </c>
      <c r="B1413" s="44">
        <v>2548.2270000000003</v>
      </c>
      <c r="C1413">
        <v>-11</v>
      </c>
    </row>
    <row r="1414" spans="1:3" x14ac:dyDescent="0.25">
      <c r="A1414" t="s">
        <v>2018</v>
      </c>
      <c r="B1414" s="44">
        <v>2185.0889999999999</v>
      </c>
      <c r="C1414">
        <v>-9</v>
      </c>
    </row>
    <row r="1415" spans="1:3" x14ac:dyDescent="0.25">
      <c r="A1415" t="s">
        <v>2019</v>
      </c>
      <c r="B1415" s="44">
        <v>2790.319</v>
      </c>
      <c r="C1415">
        <v>-11</v>
      </c>
    </row>
    <row r="1416" spans="1:3" x14ac:dyDescent="0.25">
      <c r="A1416" t="s">
        <v>2020</v>
      </c>
      <c r="B1416" s="44">
        <v>2087</v>
      </c>
      <c r="C1416">
        <v>-8</v>
      </c>
    </row>
    <row r="1417" spans="1:3" x14ac:dyDescent="0.25">
      <c r="A1417" t="s">
        <v>2021</v>
      </c>
      <c r="B1417" s="44">
        <v>2790.319</v>
      </c>
      <c r="C1417">
        <v>-11</v>
      </c>
    </row>
    <row r="1418" spans="1:3" x14ac:dyDescent="0.25">
      <c r="A1418" t="s">
        <v>2022</v>
      </c>
      <c r="B1418" s="44">
        <v>2379.1800000000003</v>
      </c>
      <c r="C1418">
        <v>-10</v>
      </c>
    </row>
    <row r="1419" spans="1:3" x14ac:dyDescent="0.25">
      <c r="A1419" t="s">
        <v>2023</v>
      </c>
      <c r="B1419" s="44">
        <v>2185.0889999999999</v>
      </c>
      <c r="C1419">
        <v>-9</v>
      </c>
    </row>
    <row r="1420" spans="1:3" x14ac:dyDescent="0.25">
      <c r="A1420" t="s">
        <v>2024</v>
      </c>
      <c r="B1420" s="44">
        <v>2087</v>
      </c>
      <c r="C1420">
        <v>-8</v>
      </c>
    </row>
    <row r="1421" spans="1:3" x14ac:dyDescent="0.25">
      <c r="A1421" t="s">
        <v>2025</v>
      </c>
      <c r="B1421" s="44">
        <v>1988.9109999999998</v>
      </c>
      <c r="C1421">
        <v>-8</v>
      </c>
    </row>
    <row r="1422" spans="1:3" x14ac:dyDescent="0.25">
      <c r="A1422" t="s">
        <v>2026</v>
      </c>
      <c r="B1422" s="44">
        <v>2379.1800000000003</v>
      </c>
      <c r="C1422">
        <v>-10</v>
      </c>
    </row>
    <row r="1423" spans="1:3" x14ac:dyDescent="0.25">
      <c r="A1423" t="s">
        <v>2027</v>
      </c>
      <c r="B1423" s="44">
        <v>2087</v>
      </c>
      <c r="C1423">
        <v>-8</v>
      </c>
    </row>
    <row r="1424" spans="1:3" x14ac:dyDescent="0.25">
      <c r="A1424" t="s">
        <v>2028</v>
      </c>
      <c r="B1424" s="44">
        <v>1988.9109999999998</v>
      </c>
      <c r="C1424">
        <v>-8</v>
      </c>
    </row>
    <row r="1425" spans="1:3" x14ac:dyDescent="0.25">
      <c r="A1425" t="s">
        <v>2029</v>
      </c>
      <c r="B1425" s="44">
        <v>2548.2270000000003</v>
      </c>
      <c r="C1425">
        <v>-11</v>
      </c>
    </row>
    <row r="1426" spans="1:3" x14ac:dyDescent="0.25">
      <c r="A1426" t="s">
        <v>2030</v>
      </c>
      <c r="B1426" s="44">
        <v>2548.2270000000003</v>
      </c>
      <c r="C1426">
        <v>-11</v>
      </c>
    </row>
    <row r="1427" spans="1:3" x14ac:dyDescent="0.25">
      <c r="A1427" t="s">
        <v>2031</v>
      </c>
      <c r="B1427" s="44">
        <v>2185.0889999999999</v>
      </c>
      <c r="C1427">
        <v>-9</v>
      </c>
    </row>
    <row r="1428" spans="1:3" x14ac:dyDescent="0.25">
      <c r="A1428" t="s">
        <v>2032</v>
      </c>
      <c r="B1428" s="44">
        <v>2379.1800000000003</v>
      </c>
      <c r="C1428">
        <v>-10</v>
      </c>
    </row>
    <row r="1429" spans="1:3" x14ac:dyDescent="0.25">
      <c r="A1429" t="s">
        <v>2033</v>
      </c>
      <c r="B1429" s="44">
        <v>1988.9109999999998</v>
      </c>
      <c r="C1429">
        <v>-8</v>
      </c>
    </row>
    <row r="1430" spans="1:3" x14ac:dyDescent="0.25">
      <c r="A1430" t="s">
        <v>2034</v>
      </c>
      <c r="B1430" s="44">
        <v>2087</v>
      </c>
      <c r="C1430">
        <v>-8</v>
      </c>
    </row>
    <row r="1431" spans="1:3" x14ac:dyDescent="0.25">
      <c r="A1431" t="s">
        <v>2035</v>
      </c>
      <c r="B1431" s="44">
        <v>2281.0909999999999</v>
      </c>
      <c r="C1431">
        <v>-9</v>
      </c>
    </row>
    <row r="1432" spans="1:3" x14ac:dyDescent="0.25">
      <c r="A1432" t="s">
        <v>2036</v>
      </c>
      <c r="B1432" s="44">
        <v>2281.0909999999999</v>
      </c>
      <c r="C1432">
        <v>-9</v>
      </c>
    </row>
    <row r="1433" spans="1:3" x14ac:dyDescent="0.25">
      <c r="A1433" t="s">
        <v>2037</v>
      </c>
      <c r="B1433" s="44">
        <v>2087</v>
      </c>
      <c r="C1433">
        <v>-8</v>
      </c>
    </row>
    <row r="1434" spans="1:3" x14ac:dyDescent="0.25">
      <c r="A1434" t="s">
        <v>2038</v>
      </c>
      <c r="B1434" s="44">
        <v>1988.9109999999998</v>
      </c>
      <c r="C1434">
        <v>-8</v>
      </c>
    </row>
    <row r="1435" spans="1:3" x14ac:dyDescent="0.25">
      <c r="A1435" t="s">
        <v>2039</v>
      </c>
      <c r="B1435" s="44">
        <v>2087</v>
      </c>
      <c r="C1435">
        <v>-9</v>
      </c>
    </row>
    <row r="1436" spans="1:3" x14ac:dyDescent="0.25">
      <c r="A1436" t="s">
        <v>2040</v>
      </c>
      <c r="B1436" s="44">
        <v>2281.0909999999999</v>
      </c>
      <c r="C1436">
        <v>-9</v>
      </c>
    </row>
    <row r="1437" spans="1:3" x14ac:dyDescent="0.25">
      <c r="A1437" t="s">
        <v>2041</v>
      </c>
      <c r="B1437" s="44">
        <v>2185.0889999999999</v>
      </c>
      <c r="C1437">
        <v>-9</v>
      </c>
    </row>
    <row r="1438" spans="1:3" x14ac:dyDescent="0.25">
      <c r="A1438" t="s">
        <v>2042</v>
      </c>
      <c r="B1438" s="44">
        <v>2087</v>
      </c>
      <c r="C1438">
        <v>-8</v>
      </c>
    </row>
    <row r="1439" spans="1:3" x14ac:dyDescent="0.25">
      <c r="A1439" t="s">
        <v>2043</v>
      </c>
      <c r="B1439" s="44">
        <v>2087</v>
      </c>
      <c r="C1439">
        <v>-8</v>
      </c>
    </row>
    <row r="1440" spans="1:3" x14ac:dyDescent="0.25">
      <c r="A1440" t="s">
        <v>2044</v>
      </c>
      <c r="B1440" s="44">
        <v>2185.0889999999999</v>
      </c>
      <c r="C1440">
        <v>-9</v>
      </c>
    </row>
    <row r="1441" spans="1:3" x14ac:dyDescent="0.25">
      <c r="A1441" t="s">
        <v>2045</v>
      </c>
      <c r="B1441" s="44">
        <v>2185.0889999999999</v>
      </c>
      <c r="C1441">
        <v>-8</v>
      </c>
    </row>
    <row r="1442" spans="1:3" x14ac:dyDescent="0.25">
      <c r="A1442" t="s">
        <v>2046</v>
      </c>
      <c r="B1442" s="44">
        <v>2548.2270000000003</v>
      </c>
      <c r="C1442">
        <v>-11</v>
      </c>
    </row>
    <row r="1443" spans="1:3" x14ac:dyDescent="0.25">
      <c r="A1443" t="s">
        <v>2047</v>
      </c>
      <c r="B1443" s="44">
        <v>2087</v>
      </c>
      <c r="C1443">
        <v>-8</v>
      </c>
    </row>
    <row r="1444" spans="1:3" x14ac:dyDescent="0.25">
      <c r="A1444" t="s">
        <v>2047</v>
      </c>
      <c r="B1444" s="44">
        <v>1988.9109999999998</v>
      </c>
      <c r="C1444">
        <v>-8</v>
      </c>
    </row>
    <row r="1445" spans="1:3" x14ac:dyDescent="0.25">
      <c r="A1445" t="s">
        <v>2048</v>
      </c>
      <c r="B1445" s="44">
        <v>2281.0909999999999</v>
      </c>
      <c r="C1445">
        <v>-10</v>
      </c>
    </row>
    <row r="1446" spans="1:3" x14ac:dyDescent="0.25">
      <c r="A1446" t="s">
        <v>2049</v>
      </c>
      <c r="B1446" s="44">
        <v>2379.1800000000003</v>
      </c>
      <c r="C1446">
        <v>-11</v>
      </c>
    </row>
    <row r="1447" spans="1:3" x14ac:dyDescent="0.25">
      <c r="A1447" t="s">
        <v>2050</v>
      </c>
      <c r="B1447" s="44">
        <v>2281.0909999999999</v>
      </c>
      <c r="C1447">
        <v>-10</v>
      </c>
    </row>
    <row r="1448" spans="1:3" x14ac:dyDescent="0.25">
      <c r="A1448" t="s">
        <v>2051</v>
      </c>
      <c r="B1448" s="44">
        <v>2087</v>
      </c>
      <c r="C1448">
        <v>-8</v>
      </c>
    </row>
    <row r="1449" spans="1:3" x14ac:dyDescent="0.25">
      <c r="A1449" t="s">
        <v>2052</v>
      </c>
      <c r="B1449" s="44">
        <v>2281.0909999999999</v>
      </c>
      <c r="C1449">
        <v>-10</v>
      </c>
    </row>
    <row r="1450" spans="1:3" x14ac:dyDescent="0.25">
      <c r="A1450" t="s">
        <v>2053</v>
      </c>
      <c r="B1450" s="44">
        <v>2281.0909999999999</v>
      </c>
      <c r="C1450">
        <v>-10</v>
      </c>
    </row>
    <row r="1451" spans="1:3" x14ac:dyDescent="0.25">
      <c r="A1451" t="s">
        <v>2054</v>
      </c>
      <c r="B1451" s="44">
        <v>2087</v>
      </c>
      <c r="C1451">
        <v>-8</v>
      </c>
    </row>
    <row r="1452" spans="1:3" x14ac:dyDescent="0.25">
      <c r="A1452" t="s">
        <v>2055</v>
      </c>
      <c r="B1452" s="44">
        <v>2087</v>
      </c>
      <c r="C1452">
        <v>-8</v>
      </c>
    </row>
    <row r="1453" spans="1:3" x14ac:dyDescent="0.25">
      <c r="A1453" t="s">
        <v>2056</v>
      </c>
      <c r="B1453" s="44">
        <v>2790.319</v>
      </c>
      <c r="C1453">
        <v>-11</v>
      </c>
    </row>
    <row r="1454" spans="1:3" x14ac:dyDescent="0.25">
      <c r="A1454" t="s">
        <v>2057</v>
      </c>
      <c r="B1454" s="44">
        <v>2281.0909999999999</v>
      </c>
      <c r="C1454">
        <v>-9</v>
      </c>
    </row>
    <row r="1455" spans="1:3" x14ac:dyDescent="0.25">
      <c r="A1455" t="s">
        <v>2058</v>
      </c>
      <c r="B1455" s="44">
        <v>2185.0889999999999</v>
      </c>
      <c r="C1455">
        <v>-8</v>
      </c>
    </row>
    <row r="1456" spans="1:3" x14ac:dyDescent="0.25">
      <c r="A1456" t="s">
        <v>2059</v>
      </c>
      <c r="B1456" s="44">
        <v>1988.9109999999998</v>
      </c>
      <c r="C1456">
        <v>-8</v>
      </c>
    </row>
    <row r="1457" spans="1:3" x14ac:dyDescent="0.25">
      <c r="A1457" t="s">
        <v>2060</v>
      </c>
      <c r="B1457" s="44">
        <v>1988.9109999999998</v>
      </c>
      <c r="C1457">
        <v>-8</v>
      </c>
    </row>
    <row r="1458" spans="1:3" x14ac:dyDescent="0.25">
      <c r="A1458" t="s">
        <v>2061</v>
      </c>
      <c r="B1458" s="44">
        <v>2379.1800000000003</v>
      </c>
      <c r="C1458">
        <v>-11</v>
      </c>
    </row>
    <row r="1459" spans="1:3" x14ac:dyDescent="0.25">
      <c r="A1459" t="s">
        <v>2062</v>
      </c>
      <c r="B1459" s="44">
        <v>2185.0889999999999</v>
      </c>
      <c r="C1459">
        <v>-9</v>
      </c>
    </row>
    <row r="1460" spans="1:3" x14ac:dyDescent="0.25">
      <c r="A1460" t="s">
        <v>2063</v>
      </c>
      <c r="B1460" s="44">
        <v>2087</v>
      </c>
      <c r="C1460">
        <v>-9</v>
      </c>
    </row>
    <row r="1461" spans="1:3" x14ac:dyDescent="0.25">
      <c r="A1461" t="s">
        <v>2064</v>
      </c>
      <c r="B1461" s="44">
        <v>2548.2270000000003</v>
      </c>
      <c r="C1461">
        <v>-11</v>
      </c>
    </row>
    <row r="1462" spans="1:3" x14ac:dyDescent="0.25">
      <c r="A1462" t="s">
        <v>2065</v>
      </c>
      <c r="B1462" s="44">
        <v>2281.0909999999999</v>
      </c>
      <c r="C1462">
        <v>-9</v>
      </c>
    </row>
    <row r="1463" spans="1:3" x14ac:dyDescent="0.25">
      <c r="A1463" t="s">
        <v>2066</v>
      </c>
      <c r="B1463" s="44">
        <v>2548.2270000000003</v>
      </c>
      <c r="C1463">
        <v>-11</v>
      </c>
    </row>
    <row r="1464" spans="1:3" x14ac:dyDescent="0.25">
      <c r="A1464" t="s">
        <v>2067</v>
      </c>
      <c r="B1464" s="44">
        <v>2185.0889999999999</v>
      </c>
      <c r="C1464">
        <v>-9</v>
      </c>
    </row>
    <row r="1465" spans="1:3" x14ac:dyDescent="0.25">
      <c r="A1465" t="s">
        <v>2068</v>
      </c>
      <c r="B1465" s="44">
        <v>2961.453</v>
      </c>
      <c r="C1465">
        <v>-11</v>
      </c>
    </row>
    <row r="1466" spans="1:3" x14ac:dyDescent="0.25">
      <c r="A1466" t="s">
        <v>2069</v>
      </c>
      <c r="B1466" s="44">
        <v>2379.1800000000003</v>
      </c>
      <c r="C1466">
        <v>-11</v>
      </c>
    </row>
    <row r="1467" spans="1:3" x14ac:dyDescent="0.25">
      <c r="A1467" t="s">
        <v>2070</v>
      </c>
      <c r="B1467" s="44">
        <v>1892.9090000000001</v>
      </c>
      <c r="C1467">
        <v>-7</v>
      </c>
    </row>
    <row r="1468" spans="1:3" x14ac:dyDescent="0.25">
      <c r="A1468" t="s">
        <v>2071</v>
      </c>
      <c r="B1468" s="44">
        <v>2087</v>
      </c>
      <c r="C1468">
        <v>-9</v>
      </c>
    </row>
    <row r="1469" spans="1:3" x14ac:dyDescent="0.25">
      <c r="A1469" t="s">
        <v>2072</v>
      </c>
      <c r="B1469" s="44">
        <v>2185.0889999999999</v>
      </c>
      <c r="C1469">
        <v>-9</v>
      </c>
    </row>
    <row r="1470" spans="1:3" x14ac:dyDescent="0.25">
      <c r="A1470" t="s">
        <v>2073</v>
      </c>
      <c r="B1470" s="44">
        <v>2281.0909999999999</v>
      </c>
      <c r="C1470">
        <v>-9</v>
      </c>
    </row>
    <row r="1471" spans="1:3" x14ac:dyDescent="0.25">
      <c r="A1471" t="s">
        <v>2074</v>
      </c>
      <c r="B1471" s="44">
        <v>2087</v>
      </c>
      <c r="C1471">
        <v>-9</v>
      </c>
    </row>
    <row r="1472" spans="1:3" x14ac:dyDescent="0.25">
      <c r="A1472" t="s">
        <v>2075</v>
      </c>
      <c r="B1472" s="44">
        <v>2281.0909999999999</v>
      </c>
      <c r="C1472">
        <v>-9</v>
      </c>
    </row>
    <row r="1473" spans="1:3" x14ac:dyDescent="0.25">
      <c r="A1473" t="s">
        <v>2076</v>
      </c>
      <c r="B1473" s="44">
        <v>2379.1800000000003</v>
      </c>
      <c r="C1473">
        <v>-10</v>
      </c>
    </row>
    <row r="1474" spans="1:3" x14ac:dyDescent="0.25">
      <c r="A1474" t="s">
        <v>2077</v>
      </c>
      <c r="B1474" s="44">
        <v>2185.0889999999999</v>
      </c>
      <c r="C1474">
        <v>-9</v>
      </c>
    </row>
    <row r="1475" spans="1:3" x14ac:dyDescent="0.25">
      <c r="A1475" t="s">
        <v>2078</v>
      </c>
      <c r="B1475" s="44">
        <v>2281.0909999999999</v>
      </c>
      <c r="C1475">
        <v>-10</v>
      </c>
    </row>
    <row r="1476" spans="1:3" x14ac:dyDescent="0.25">
      <c r="A1476" t="s">
        <v>2079</v>
      </c>
      <c r="B1476" s="44">
        <v>2087</v>
      </c>
      <c r="C1476">
        <v>-8</v>
      </c>
    </row>
    <row r="1477" spans="1:3" x14ac:dyDescent="0.25">
      <c r="A1477" t="s">
        <v>2080</v>
      </c>
      <c r="B1477" s="44">
        <v>2185.0889999999999</v>
      </c>
      <c r="C1477">
        <v>-9</v>
      </c>
    </row>
    <row r="1478" spans="1:3" x14ac:dyDescent="0.25">
      <c r="A1478" t="s">
        <v>2081</v>
      </c>
      <c r="B1478" s="44">
        <v>2185.0889999999999</v>
      </c>
      <c r="C1478">
        <v>-9</v>
      </c>
    </row>
    <row r="1479" spans="1:3" x14ac:dyDescent="0.25">
      <c r="A1479" t="s">
        <v>2082</v>
      </c>
      <c r="B1479" s="44">
        <v>2548.2270000000003</v>
      </c>
      <c r="C1479">
        <v>-10</v>
      </c>
    </row>
    <row r="1480" spans="1:3" x14ac:dyDescent="0.25">
      <c r="A1480" t="s">
        <v>2083</v>
      </c>
      <c r="B1480" s="44">
        <v>2087</v>
      </c>
      <c r="C1480">
        <v>-8</v>
      </c>
    </row>
    <row r="1481" spans="1:3" x14ac:dyDescent="0.25">
      <c r="A1481" t="s">
        <v>2084</v>
      </c>
      <c r="B1481" s="44">
        <v>2379.1800000000003</v>
      </c>
      <c r="C1481">
        <v>-10</v>
      </c>
    </row>
    <row r="1482" spans="1:3" x14ac:dyDescent="0.25">
      <c r="A1482" t="s">
        <v>2085</v>
      </c>
      <c r="B1482" s="44">
        <v>1988.9109999999998</v>
      </c>
      <c r="C1482">
        <v>-8</v>
      </c>
    </row>
    <row r="1483" spans="1:3" x14ac:dyDescent="0.25">
      <c r="A1483" t="s">
        <v>2085</v>
      </c>
      <c r="B1483" s="44">
        <v>1892.9090000000001</v>
      </c>
      <c r="C1483">
        <v>-7</v>
      </c>
    </row>
    <row r="1484" spans="1:3" x14ac:dyDescent="0.25">
      <c r="A1484" t="s">
        <v>2086</v>
      </c>
      <c r="B1484" s="44">
        <v>1988.9109999999998</v>
      </c>
      <c r="C1484">
        <v>-8</v>
      </c>
    </row>
    <row r="1485" spans="1:3" x14ac:dyDescent="0.25">
      <c r="A1485" t="s">
        <v>2087</v>
      </c>
      <c r="B1485" s="44">
        <v>2379.1800000000003</v>
      </c>
      <c r="C1485">
        <v>-10</v>
      </c>
    </row>
    <row r="1486" spans="1:3" x14ac:dyDescent="0.25">
      <c r="A1486" t="s">
        <v>2088</v>
      </c>
      <c r="B1486" s="44">
        <v>2087</v>
      </c>
      <c r="C1486">
        <v>-8</v>
      </c>
    </row>
    <row r="1487" spans="1:3" x14ac:dyDescent="0.25">
      <c r="A1487" t="s">
        <v>2089</v>
      </c>
      <c r="B1487" s="44">
        <v>1988.9109999999998</v>
      </c>
      <c r="C1487">
        <v>-8</v>
      </c>
    </row>
    <row r="1488" spans="1:3" x14ac:dyDescent="0.25">
      <c r="A1488" t="s">
        <v>2090</v>
      </c>
      <c r="B1488" s="44">
        <v>1988.9109999999998</v>
      </c>
      <c r="C1488">
        <v>-8</v>
      </c>
    </row>
    <row r="1489" spans="1:3" x14ac:dyDescent="0.25">
      <c r="A1489" t="s">
        <v>2091</v>
      </c>
      <c r="B1489" s="44">
        <v>2185.0889999999999</v>
      </c>
      <c r="C1489">
        <v>-9</v>
      </c>
    </row>
    <row r="1490" spans="1:3" x14ac:dyDescent="0.25">
      <c r="A1490" t="s">
        <v>2092</v>
      </c>
      <c r="B1490" s="44">
        <v>2087</v>
      </c>
      <c r="C1490">
        <v>-8</v>
      </c>
    </row>
    <row r="1491" spans="1:3" x14ac:dyDescent="0.25">
      <c r="A1491" t="s">
        <v>2093</v>
      </c>
      <c r="B1491" s="44">
        <v>2790.319</v>
      </c>
      <c r="C1491">
        <v>-11</v>
      </c>
    </row>
    <row r="1492" spans="1:3" x14ac:dyDescent="0.25">
      <c r="A1492" t="s">
        <v>2094</v>
      </c>
      <c r="B1492" s="44">
        <v>2087</v>
      </c>
      <c r="C1492">
        <v>-8</v>
      </c>
    </row>
    <row r="1493" spans="1:3" x14ac:dyDescent="0.25">
      <c r="A1493" t="s">
        <v>2095</v>
      </c>
      <c r="B1493" s="44">
        <v>2379.1800000000003</v>
      </c>
      <c r="C1493">
        <v>-10</v>
      </c>
    </row>
    <row r="1494" spans="1:3" x14ac:dyDescent="0.25">
      <c r="A1494" t="s">
        <v>2096</v>
      </c>
      <c r="B1494" s="44">
        <v>2548.2270000000003</v>
      </c>
      <c r="C1494">
        <v>-10</v>
      </c>
    </row>
    <row r="1495" spans="1:3" x14ac:dyDescent="0.25">
      <c r="A1495" t="s">
        <v>2097</v>
      </c>
      <c r="B1495" s="44">
        <v>2087</v>
      </c>
      <c r="C1495">
        <v>-8</v>
      </c>
    </row>
    <row r="1496" spans="1:3" x14ac:dyDescent="0.25">
      <c r="A1496" t="s">
        <v>2098</v>
      </c>
      <c r="B1496" s="44">
        <v>2087</v>
      </c>
      <c r="C1496">
        <v>-8</v>
      </c>
    </row>
    <row r="1497" spans="1:3" x14ac:dyDescent="0.25">
      <c r="A1497" t="s">
        <v>2099</v>
      </c>
      <c r="B1497" s="44">
        <v>1988.9109999999998</v>
      </c>
      <c r="C1497">
        <v>-8</v>
      </c>
    </row>
    <row r="1498" spans="1:3" x14ac:dyDescent="0.25">
      <c r="A1498" t="s">
        <v>2100</v>
      </c>
      <c r="B1498" s="44">
        <v>2087</v>
      </c>
      <c r="C1498">
        <v>-9</v>
      </c>
    </row>
    <row r="1499" spans="1:3" x14ac:dyDescent="0.25">
      <c r="A1499" t="s">
        <v>2101</v>
      </c>
      <c r="B1499" s="44">
        <v>2379.1800000000003</v>
      </c>
      <c r="C1499">
        <v>-10</v>
      </c>
    </row>
    <row r="1500" spans="1:3" x14ac:dyDescent="0.25">
      <c r="A1500" t="s">
        <v>2102</v>
      </c>
      <c r="B1500" s="44">
        <v>2379.1800000000003</v>
      </c>
      <c r="C1500">
        <v>-10</v>
      </c>
    </row>
    <row r="1501" spans="1:3" x14ac:dyDescent="0.25">
      <c r="A1501" t="s">
        <v>2103</v>
      </c>
      <c r="B1501" s="44">
        <v>2087</v>
      </c>
      <c r="C1501">
        <v>-8</v>
      </c>
    </row>
    <row r="1502" spans="1:3" x14ac:dyDescent="0.25">
      <c r="A1502" t="s">
        <v>2104</v>
      </c>
      <c r="B1502" s="44">
        <v>2087</v>
      </c>
      <c r="C1502">
        <v>-8</v>
      </c>
    </row>
    <row r="1503" spans="1:3" x14ac:dyDescent="0.25">
      <c r="A1503" t="s">
        <v>2105</v>
      </c>
      <c r="B1503" s="44">
        <v>2087</v>
      </c>
      <c r="C1503">
        <v>-8</v>
      </c>
    </row>
    <row r="1504" spans="1:3" x14ac:dyDescent="0.25">
      <c r="A1504" t="s">
        <v>2106</v>
      </c>
      <c r="B1504" s="44">
        <v>2185.0889999999999</v>
      </c>
      <c r="C1504">
        <v>-8</v>
      </c>
    </row>
    <row r="1505" spans="1:3" x14ac:dyDescent="0.25">
      <c r="A1505" t="s">
        <v>2107</v>
      </c>
      <c r="B1505" s="44">
        <v>2379.1800000000003</v>
      </c>
      <c r="C1505">
        <v>-10</v>
      </c>
    </row>
    <row r="1506" spans="1:3" x14ac:dyDescent="0.25">
      <c r="A1506" t="s">
        <v>2108</v>
      </c>
      <c r="B1506" s="44">
        <v>2087</v>
      </c>
      <c r="C1506">
        <v>-8</v>
      </c>
    </row>
    <row r="1507" spans="1:3" x14ac:dyDescent="0.25">
      <c r="A1507" t="s">
        <v>2109</v>
      </c>
      <c r="B1507" s="44">
        <v>2185.0889999999999</v>
      </c>
      <c r="C1507">
        <v>-9</v>
      </c>
    </row>
    <row r="1508" spans="1:3" x14ac:dyDescent="0.25">
      <c r="A1508" t="s">
        <v>2110</v>
      </c>
      <c r="B1508" s="44">
        <v>2281.0909999999999</v>
      </c>
      <c r="C1508">
        <v>-10</v>
      </c>
    </row>
    <row r="1509" spans="1:3" x14ac:dyDescent="0.25">
      <c r="A1509" t="s">
        <v>2111</v>
      </c>
      <c r="B1509" s="44">
        <v>2087</v>
      </c>
      <c r="C1509">
        <v>-8</v>
      </c>
    </row>
    <row r="1510" spans="1:3" x14ac:dyDescent="0.25">
      <c r="A1510" t="s">
        <v>2112</v>
      </c>
      <c r="B1510" s="44">
        <v>2185.0889999999999</v>
      </c>
      <c r="C1510">
        <v>-8</v>
      </c>
    </row>
    <row r="1511" spans="1:3" x14ac:dyDescent="0.25">
      <c r="A1511" t="s">
        <v>2113</v>
      </c>
      <c r="B1511" s="44">
        <v>1988.9109999999998</v>
      </c>
      <c r="C1511">
        <v>-8</v>
      </c>
    </row>
    <row r="1512" spans="1:3" x14ac:dyDescent="0.25">
      <c r="A1512" t="s">
        <v>2114</v>
      </c>
      <c r="B1512" s="44">
        <v>2185.0889999999999</v>
      </c>
      <c r="C1512">
        <v>-9</v>
      </c>
    </row>
    <row r="1513" spans="1:3" x14ac:dyDescent="0.25">
      <c r="A1513" t="s">
        <v>2115</v>
      </c>
      <c r="B1513" s="44">
        <v>2087</v>
      </c>
      <c r="C1513">
        <v>-9</v>
      </c>
    </row>
    <row r="1514" spans="1:3" x14ac:dyDescent="0.25">
      <c r="A1514" t="s">
        <v>2116</v>
      </c>
      <c r="B1514" s="44">
        <v>2185.0889999999999</v>
      </c>
      <c r="C1514">
        <v>-9</v>
      </c>
    </row>
    <row r="1515" spans="1:3" x14ac:dyDescent="0.25">
      <c r="A1515" t="s">
        <v>2117</v>
      </c>
      <c r="B1515" s="44">
        <v>2087</v>
      </c>
      <c r="C1515">
        <v>-8</v>
      </c>
    </row>
    <row r="1516" spans="1:3" x14ac:dyDescent="0.25">
      <c r="A1516" t="s">
        <v>2118</v>
      </c>
      <c r="B1516" s="44">
        <v>2087</v>
      </c>
      <c r="C1516">
        <v>-8</v>
      </c>
    </row>
    <row r="1517" spans="1:3" x14ac:dyDescent="0.25">
      <c r="A1517" t="s">
        <v>2119</v>
      </c>
      <c r="B1517" s="44">
        <v>1892.9090000000001</v>
      </c>
      <c r="C1517">
        <v>-8</v>
      </c>
    </row>
    <row r="1518" spans="1:3" x14ac:dyDescent="0.25">
      <c r="A1518" t="s">
        <v>2120</v>
      </c>
      <c r="B1518" s="44">
        <v>2087</v>
      </c>
      <c r="C1518">
        <v>-9</v>
      </c>
    </row>
    <row r="1519" spans="1:3" x14ac:dyDescent="0.25">
      <c r="A1519" t="s">
        <v>2121</v>
      </c>
      <c r="B1519" s="44">
        <v>2185.0889999999999</v>
      </c>
      <c r="C1519">
        <v>-9</v>
      </c>
    </row>
    <row r="1520" spans="1:3" x14ac:dyDescent="0.25">
      <c r="A1520" t="s">
        <v>2122</v>
      </c>
      <c r="B1520" s="44">
        <v>2185.0889999999999</v>
      </c>
      <c r="C1520">
        <v>-8</v>
      </c>
    </row>
    <row r="1521" spans="1:3" x14ac:dyDescent="0.25">
      <c r="A1521" t="s">
        <v>2123</v>
      </c>
      <c r="B1521" s="44">
        <v>1988.9109999999998</v>
      </c>
      <c r="C1521">
        <v>-8</v>
      </c>
    </row>
    <row r="1522" spans="1:3" x14ac:dyDescent="0.25">
      <c r="A1522" t="s">
        <v>2124</v>
      </c>
      <c r="B1522" s="44">
        <v>2185.0889999999999</v>
      </c>
      <c r="C1522">
        <v>-9</v>
      </c>
    </row>
    <row r="1523" spans="1:3" x14ac:dyDescent="0.25">
      <c r="A1523" t="s">
        <v>2125</v>
      </c>
      <c r="B1523" s="44">
        <v>2185.0889999999999</v>
      </c>
      <c r="C1523">
        <v>-9</v>
      </c>
    </row>
    <row r="1524" spans="1:3" x14ac:dyDescent="0.25">
      <c r="A1524" t="s">
        <v>2126</v>
      </c>
      <c r="B1524" s="44">
        <v>2185.0889999999999</v>
      </c>
      <c r="C1524">
        <v>-9</v>
      </c>
    </row>
    <row r="1525" spans="1:3" x14ac:dyDescent="0.25">
      <c r="A1525" t="s">
        <v>2127</v>
      </c>
      <c r="B1525" s="44">
        <v>1988.9109999999998</v>
      </c>
      <c r="C1525">
        <v>-8</v>
      </c>
    </row>
    <row r="1526" spans="1:3" x14ac:dyDescent="0.25">
      <c r="A1526" t="s">
        <v>2128</v>
      </c>
      <c r="B1526" s="44">
        <v>2087</v>
      </c>
      <c r="C1526">
        <v>-8</v>
      </c>
    </row>
    <row r="1527" spans="1:3" x14ac:dyDescent="0.25">
      <c r="A1527" t="s">
        <v>2129</v>
      </c>
      <c r="B1527" s="44">
        <v>2087</v>
      </c>
      <c r="C1527">
        <v>-8</v>
      </c>
    </row>
    <row r="1528" spans="1:3" x14ac:dyDescent="0.25">
      <c r="A1528" t="s">
        <v>2130</v>
      </c>
      <c r="B1528" s="44">
        <v>2548.2270000000003</v>
      </c>
      <c r="C1528">
        <v>-10</v>
      </c>
    </row>
    <row r="1529" spans="1:3" x14ac:dyDescent="0.25">
      <c r="A1529" t="s">
        <v>2131</v>
      </c>
      <c r="B1529" s="44">
        <v>2379.1800000000003</v>
      </c>
      <c r="C1529">
        <v>-10</v>
      </c>
    </row>
    <row r="1530" spans="1:3" x14ac:dyDescent="0.25">
      <c r="A1530" t="s">
        <v>2132</v>
      </c>
      <c r="B1530" s="44">
        <v>2087</v>
      </c>
      <c r="C1530">
        <v>-8</v>
      </c>
    </row>
    <row r="1531" spans="1:3" x14ac:dyDescent="0.25">
      <c r="A1531" t="s">
        <v>2133</v>
      </c>
      <c r="B1531" s="44">
        <v>2087</v>
      </c>
      <c r="C1531">
        <v>-8</v>
      </c>
    </row>
    <row r="1532" spans="1:3" x14ac:dyDescent="0.25">
      <c r="A1532" t="s">
        <v>2133</v>
      </c>
      <c r="B1532" s="44">
        <v>2087</v>
      </c>
      <c r="C1532">
        <v>-8</v>
      </c>
    </row>
    <row r="1533" spans="1:3" x14ac:dyDescent="0.25">
      <c r="A1533" t="s">
        <v>2133</v>
      </c>
      <c r="B1533" s="44">
        <v>2087</v>
      </c>
      <c r="C1533">
        <v>-9</v>
      </c>
    </row>
    <row r="1534" spans="1:3" x14ac:dyDescent="0.25">
      <c r="A1534" t="s">
        <v>2134</v>
      </c>
      <c r="B1534" s="44">
        <v>2281.0909999999999</v>
      </c>
      <c r="C1534">
        <v>-9</v>
      </c>
    </row>
    <row r="1535" spans="1:3" x14ac:dyDescent="0.25">
      <c r="A1535" t="s">
        <v>2135</v>
      </c>
      <c r="B1535" s="44">
        <v>2087</v>
      </c>
      <c r="C1535">
        <v>-8</v>
      </c>
    </row>
    <row r="1536" spans="1:3" x14ac:dyDescent="0.25">
      <c r="A1536" t="s">
        <v>2136</v>
      </c>
      <c r="B1536" s="44">
        <v>2087</v>
      </c>
      <c r="C1536">
        <v>-8</v>
      </c>
    </row>
    <row r="1537" spans="1:3" x14ac:dyDescent="0.25">
      <c r="A1537" t="s">
        <v>2137</v>
      </c>
      <c r="B1537" s="44">
        <v>1988.9109999999998</v>
      </c>
      <c r="C1537">
        <v>-8</v>
      </c>
    </row>
    <row r="1538" spans="1:3" x14ac:dyDescent="0.25">
      <c r="A1538" t="s">
        <v>2138</v>
      </c>
      <c r="B1538" s="44">
        <v>2185.0889999999999</v>
      </c>
      <c r="C1538">
        <v>-9</v>
      </c>
    </row>
    <row r="1539" spans="1:3" x14ac:dyDescent="0.25">
      <c r="A1539" t="s">
        <v>2139</v>
      </c>
      <c r="B1539" s="44">
        <v>2087</v>
      </c>
      <c r="C1539">
        <v>-8</v>
      </c>
    </row>
    <row r="1540" spans="1:3" x14ac:dyDescent="0.25">
      <c r="A1540" t="s">
        <v>2140</v>
      </c>
      <c r="B1540" s="44">
        <v>2185.0889999999999</v>
      </c>
      <c r="C1540">
        <v>-9</v>
      </c>
    </row>
    <row r="1541" spans="1:3" x14ac:dyDescent="0.25">
      <c r="A1541" t="s">
        <v>2141</v>
      </c>
      <c r="B1541" s="44">
        <v>2790.319</v>
      </c>
      <c r="C1541">
        <v>-11</v>
      </c>
    </row>
    <row r="1542" spans="1:3" x14ac:dyDescent="0.25">
      <c r="A1542" t="s">
        <v>2142</v>
      </c>
      <c r="B1542" s="44">
        <v>2087</v>
      </c>
      <c r="C1542">
        <v>-8</v>
      </c>
    </row>
    <row r="1543" spans="1:3" x14ac:dyDescent="0.25">
      <c r="A1543" t="s">
        <v>2143</v>
      </c>
      <c r="B1543" s="44">
        <v>1988.9109999999998</v>
      </c>
      <c r="C1543">
        <v>-8</v>
      </c>
    </row>
    <row r="1544" spans="1:3" x14ac:dyDescent="0.25">
      <c r="A1544" t="s">
        <v>2144</v>
      </c>
      <c r="B1544" s="44">
        <v>1988.9109999999998</v>
      </c>
      <c r="C1544">
        <v>-8</v>
      </c>
    </row>
    <row r="1545" spans="1:3" x14ac:dyDescent="0.25">
      <c r="A1545" t="s">
        <v>2145</v>
      </c>
      <c r="B1545" s="44">
        <v>2379.1800000000003</v>
      </c>
      <c r="C1545">
        <v>-10</v>
      </c>
    </row>
    <row r="1546" spans="1:3" x14ac:dyDescent="0.25">
      <c r="A1546" t="s">
        <v>2146</v>
      </c>
      <c r="B1546" s="44">
        <v>2548.2270000000003</v>
      </c>
      <c r="C1546">
        <v>-11</v>
      </c>
    </row>
    <row r="1547" spans="1:3" x14ac:dyDescent="0.25">
      <c r="A1547" t="s">
        <v>2147</v>
      </c>
      <c r="B1547" s="44">
        <v>2087</v>
      </c>
      <c r="C1547">
        <v>-8</v>
      </c>
    </row>
    <row r="1548" spans="1:3" x14ac:dyDescent="0.25">
      <c r="A1548" t="s">
        <v>2148</v>
      </c>
      <c r="B1548" s="44">
        <v>1988.9109999999998</v>
      </c>
      <c r="C1548">
        <v>-8</v>
      </c>
    </row>
    <row r="1549" spans="1:3" x14ac:dyDescent="0.25">
      <c r="A1549" t="s">
        <v>2149</v>
      </c>
      <c r="B1549" s="44">
        <v>1988.9109999999998</v>
      </c>
      <c r="C1549">
        <v>-8</v>
      </c>
    </row>
    <row r="1550" spans="1:3" x14ac:dyDescent="0.25">
      <c r="A1550" t="s">
        <v>2150</v>
      </c>
      <c r="B1550" s="44">
        <v>2185.0889999999999</v>
      </c>
      <c r="C1550">
        <v>-9</v>
      </c>
    </row>
    <row r="1551" spans="1:3" x14ac:dyDescent="0.25">
      <c r="A1551" t="s">
        <v>2151</v>
      </c>
      <c r="B1551" s="44">
        <v>2185.0889999999999</v>
      </c>
      <c r="C1551">
        <v>-9</v>
      </c>
    </row>
    <row r="1552" spans="1:3" x14ac:dyDescent="0.25">
      <c r="A1552" t="s">
        <v>2152</v>
      </c>
      <c r="B1552" s="44">
        <v>2087</v>
      </c>
      <c r="C1552">
        <v>-8</v>
      </c>
    </row>
    <row r="1553" spans="1:3" x14ac:dyDescent="0.25">
      <c r="A1553" t="s">
        <v>2153</v>
      </c>
      <c r="B1553" s="44">
        <v>2185.0889999999999</v>
      </c>
      <c r="C1553">
        <v>-9</v>
      </c>
    </row>
    <row r="1554" spans="1:3" x14ac:dyDescent="0.25">
      <c r="A1554" t="s">
        <v>2154</v>
      </c>
      <c r="B1554" s="44">
        <v>2087</v>
      </c>
      <c r="C1554">
        <v>-8</v>
      </c>
    </row>
    <row r="1555" spans="1:3" x14ac:dyDescent="0.25">
      <c r="A1555" t="s">
        <v>2155</v>
      </c>
      <c r="B1555" s="44">
        <v>1988.9109999999998</v>
      </c>
      <c r="C1555">
        <v>-8</v>
      </c>
    </row>
    <row r="1556" spans="1:3" x14ac:dyDescent="0.25">
      <c r="A1556" t="s">
        <v>2156</v>
      </c>
      <c r="B1556" s="44">
        <v>1988.9109999999998</v>
      </c>
      <c r="C1556">
        <v>-8</v>
      </c>
    </row>
    <row r="1557" spans="1:3" x14ac:dyDescent="0.25">
      <c r="A1557" t="s">
        <v>2157</v>
      </c>
      <c r="B1557" s="44">
        <v>1988.9109999999998</v>
      </c>
      <c r="C1557">
        <v>-8</v>
      </c>
    </row>
    <row r="1558" spans="1:3" x14ac:dyDescent="0.25">
      <c r="A1558" t="s">
        <v>2158</v>
      </c>
      <c r="B1558" s="44">
        <v>1988.9109999999998</v>
      </c>
      <c r="C1558">
        <v>-9</v>
      </c>
    </row>
    <row r="1559" spans="1:3" x14ac:dyDescent="0.25">
      <c r="A1559" t="s">
        <v>2159</v>
      </c>
      <c r="B1559" s="44">
        <v>2185.0889999999999</v>
      </c>
      <c r="C1559">
        <v>-9</v>
      </c>
    </row>
    <row r="1560" spans="1:3" x14ac:dyDescent="0.25">
      <c r="A1560" t="s">
        <v>2160</v>
      </c>
      <c r="B1560" s="44">
        <v>2281.0909999999999</v>
      </c>
      <c r="C1560">
        <v>-10</v>
      </c>
    </row>
    <row r="1561" spans="1:3" x14ac:dyDescent="0.25">
      <c r="A1561" t="s">
        <v>2161</v>
      </c>
      <c r="B1561" s="44">
        <v>1988.9109999999998</v>
      </c>
      <c r="C1561">
        <v>-8</v>
      </c>
    </row>
    <row r="1562" spans="1:3" x14ac:dyDescent="0.25">
      <c r="A1562" t="s">
        <v>2162</v>
      </c>
      <c r="B1562" s="44">
        <v>2087</v>
      </c>
      <c r="C1562">
        <v>-8</v>
      </c>
    </row>
    <row r="1563" spans="1:3" x14ac:dyDescent="0.25">
      <c r="A1563" t="s">
        <v>2163</v>
      </c>
      <c r="B1563" s="44">
        <v>2379.1800000000003</v>
      </c>
      <c r="C1563">
        <v>-10</v>
      </c>
    </row>
    <row r="1564" spans="1:3" x14ac:dyDescent="0.25">
      <c r="A1564" t="s">
        <v>2164</v>
      </c>
      <c r="B1564" s="44">
        <v>2379.1800000000003</v>
      </c>
      <c r="C1564">
        <v>-10</v>
      </c>
    </row>
    <row r="1565" spans="1:3" x14ac:dyDescent="0.25">
      <c r="A1565" t="s">
        <v>2165</v>
      </c>
      <c r="B1565" s="44">
        <v>1988.9109999999998</v>
      </c>
      <c r="C1565">
        <v>-8</v>
      </c>
    </row>
    <row r="1566" spans="1:3" x14ac:dyDescent="0.25">
      <c r="A1566" t="s">
        <v>2166</v>
      </c>
      <c r="B1566" s="44">
        <v>2379.1800000000003</v>
      </c>
      <c r="C1566">
        <v>-10</v>
      </c>
    </row>
    <row r="1567" spans="1:3" x14ac:dyDescent="0.25">
      <c r="A1567" t="s">
        <v>2167</v>
      </c>
      <c r="B1567" s="44">
        <v>2087</v>
      </c>
      <c r="C1567">
        <v>-9</v>
      </c>
    </row>
    <row r="1568" spans="1:3" x14ac:dyDescent="0.25">
      <c r="A1568" t="s">
        <v>2168</v>
      </c>
      <c r="B1568" s="44">
        <v>2185.0889999999999</v>
      </c>
      <c r="C1568">
        <v>-8</v>
      </c>
    </row>
    <row r="1569" spans="1:3" x14ac:dyDescent="0.25">
      <c r="A1569" t="s">
        <v>2169</v>
      </c>
      <c r="B1569" s="44">
        <v>2087</v>
      </c>
      <c r="C1569">
        <v>-8</v>
      </c>
    </row>
    <row r="1570" spans="1:3" x14ac:dyDescent="0.25">
      <c r="A1570" t="s">
        <v>2170</v>
      </c>
      <c r="B1570" s="44">
        <v>2281.0909999999999</v>
      </c>
      <c r="C1570">
        <v>-10</v>
      </c>
    </row>
    <row r="1571" spans="1:3" x14ac:dyDescent="0.25">
      <c r="A1571" t="s">
        <v>2171</v>
      </c>
      <c r="B1571" s="44">
        <v>1988.9109999999998</v>
      </c>
      <c r="C1571">
        <v>-8</v>
      </c>
    </row>
    <row r="1572" spans="1:3" x14ac:dyDescent="0.25">
      <c r="A1572" t="s">
        <v>2172</v>
      </c>
      <c r="B1572" s="44">
        <v>2185.0889999999999</v>
      </c>
      <c r="C1572">
        <v>-9</v>
      </c>
    </row>
    <row r="1573" spans="1:3" x14ac:dyDescent="0.25">
      <c r="A1573" t="s">
        <v>2173</v>
      </c>
      <c r="B1573" s="44">
        <v>2087</v>
      </c>
      <c r="C1573">
        <v>-8</v>
      </c>
    </row>
    <row r="1574" spans="1:3" x14ac:dyDescent="0.25">
      <c r="A1574" t="s">
        <v>2174</v>
      </c>
      <c r="B1574" s="44">
        <v>2961.453</v>
      </c>
      <c r="C1574">
        <v>-11</v>
      </c>
    </row>
    <row r="1575" spans="1:3" x14ac:dyDescent="0.25">
      <c r="A1575" t="s">
        <v>2175</v>
      </c>
      <c r="B1575" s="44">
        <v>2087</v>
      </c>
      <c r="C1575">
        <v>-8</v>
      </c>
    </row>
    <row r="1576" spans="1:3" x14ac:dyDescent="0.25">
      <c r="A1576" t="s">
        <v>2176</v>
      </c>
      <c r="B1576" s="44">
        <v>2281.0909999999999</v>
      </c>
      <c r="C1576">
        <v>-10</v>
      </c>
    </row>
    <row r="1577" spans="1:3" x14ac:dyDescent="0.25">
      <c r="A1577" t="s">
        <v>2177</v>
      </c>
      <c r="B1577" s="44">
        <v>1988.9109999999998</v>
      </c>
      <c r="C1577">
        <v>-8</v>
      </c>
    </row>
    <row r="1578" spans="1:3" x14ac:dyDescent="0.25">
      <c r="A1578" t="s">
        <v>2178</v>
      </c>
      <c r="B1578" s="44">
        <v>1892.9090000000001</v>
      </c>
      <c r="C1578">
        <v>-7</v>
      </c>
    </row>
    <row r="1579" spans="1:3" x14ac:dyDescent="0.25">
      <c r="A1579" t="s">
        <v>2179</v>
      </c>
      <c r="B1579" s="44">
        <v>2281.0909999999999</v>
      </c>
      <c r="C1579">
        <v>-10</v>
      </c>
    </row>
    <row r="1580" spans="1:3" x14ac:dyDescent="0.25">
      <c r="A1580" t="s">
        <v>2180</v>
      </c>
      <c r="B1580" s="44">
        <v>2087</v>
      </c>
      <c r="C1580">
        <v>-9</v>
      </c>
    </row>
    <row r="1581" spans="1:3" x14ac:dyDescent="0.25">
      <c r="A1581" t="s">
        <v>2181</v>
      </c>
      <c r="B1581" s="44">
        <v>2087</v>
      </c>
      <c r="C1581">
        <v>-8</v>
      </c>
    </row>
    <row r="1582" spans="1:3" x14ac:dyDescent="0.25">
      <c r="A1582" t="s">
        <v>2182</v>
      </c>
      <c r="B1582" s="44">
        <v>2185.0889999999999</v>
      </c>
      <c r="C1582">
        <v>-8</v>
      </c>
    </row>
    <row r="1583" spans="1:3" x14ac:dyDescent="0.25">
      <c r="A1583" t="s">
        <v>2183</v>
      </c>
      <c r="B1583" s="44">
        <v>2185.0889999999999</v>
      </c>
      <c r="C1583">
        <v>-9</v>
      </c>
    </row>
    <row r="1584" spans="1:3" x14ac:dyDescent="0.25">
      <c r="A1584" t="s">
        <v>2184</v>
      </c>
      <c r="B1584" s="44">
        <v>2185.0889999999999</v>
      </c>
      <c r="C1584">
        <v>-9</v>
      </c>
    </row>
    <row r="1585" spans="1:3" x14ac:dyDescent="0.25">
      <c r="A1585" t="s">
        <v>2185</v>
      </c>
      <c r="B1585" s="44">
        <v>2548.2270000000003</v>
      </c>
      <c r="C1585">
        <v>-10</v>
      </c>
    </row>
    <row r="1586" spans="1:3" x14ac:dyDescent="0.25">
      <c r="A1586" t="s">
        <v>2186</v>
      </c>
      <c r="B1586" s="44">
        <v>2281.0909999999999</v>
      </c>
      <c r="C1586">
        <v>-10</v>
      </c>
    </row>
    <row r="1587" spans="1:3" x14ac:dyDescent="0.25">
      <c r="A1587" t="s">
        <v>2187</v>
      </c>
      <c r="B1587" s="44">
        <v>2185.0889999999999</v>
      </c>
      <c r="C1587">
        <v>-9</v>
      </c>
    </row>
    <row r="1588" spans="1:3" x14ac:dyDescent="0.25">
      <c r="A1588" t="s">
        <v>2188</v>
      </c>
      <c r="B1588" s="44">
        <v>1988.9109999999998</v>
      </c>
      <c r="C1588">
        <v>-8</v>
      </c>
    </row>
    <row r="1589" spans="1:3" x14ac:dyDescent="0.25">
      <c r="A1589" t="s">
        <v>2189</v>
      </c>
      <c r="B1589" s="44">
        <v>2087</v>
      </c>
      <c r="C1589">
        <v>-8</v>
      </c>
    </row>
    <row r="1590" spans="1:3" x14ac:dyDescent="0.25">
      <c r="A1590" t="s">
        <v>2189</v>
      </c>
      <c r="B1590" s="44">
        <v>1988.9109999999998</v>
      </c>
      <c r="C1590">
        <v>-8</v>
      </c>
    </row>
    <row r="1591" spans="1:3" x14ac:dyDescent="0.25">
      <c r="A1591" t="s">
        <v>2190</v>
      </c>
      <c r="B1591" s="44">
        <v>1988.9109999999998</v>
      </c>
      <c r="C1591">
        <v>-8</v>
      </c>
    </row>
    <row r="1592" spans="1:3" x14ac:dyDescent="0.25">
      <c r="A1592" t="s">
        <v>2191</v>
      </c>
      <c r="B1592" s="44">
        <v>1988.9109999999998</v>
      </c>
      <c r="C1592">
        <v>-8</v>
      </c>
    </row>
    <row r="1593" spans="1:3" x14ac:dyDescent="0.25">
      <c r="A1593" t="s">
        <v>2192</v>
      </c>
      <c r="B1593" s="44">
        <v>1988.9109999999998</v>
      </c>
      <c r="C1593">
        <v>-8</v>
      </c>
    </row>
    <row r="1594" spans="1:3" x14ac:dyDescent="0.25">
      <c r="A1594" t="s">
        <v>2193</v>
      </c>
      <c r="B1594" s="44">
        <v>2281.0909999999999</v>
      </c>
      <c r="C1594">
        <v>-9</v>
      </c>
    </row>
    <row r="1595" spans="1:3" x14ac:dyDescent="0.25">
      <c r="A1595" t="s">
        <v>2194</v>
      </c>
      <c r="B1595" s="44">
        <v>2281.0909999999999</v>
      </c>
      <c r="C1595">
        <v>-10</v>
      </c>
    </row>
    <row r="1596" spans="1:3" x14ac:dyDescent="0.25">
      <c r="A1596" t="s">
        <v>2195</v>
      </c>
      <c r="B1596" s="44">
        <v>2185.0889999999999</v>
      </c>
      <c r="C1596">
        <v>-9</v>
      </c>
    </row>
    <row r="1597" spans="1:3" x14ac:dyDescent="0.25">
      <c r="A1597" t="s">
        <v>2196</v>
      </c>
      <c r="B1597" s="44">
        <v>2548.2270000000003</v>
      </c>
      <c r="C1597">
        <v>-11</v>
      </c>
    </row>
    <row r="1598" spans="1:3" x14ac:dyDescent="0.25">
      <c r="A1598" t="s">
        <v>2197</v>
      </c>
      <c r="B1598" s="44">
        <v>2087</v>
      </c>
      <c r="C1598">
        <v>-9</v>
      </c>
    </row>
    <row r="1599" spans="1:3" x14ac:dyDescent="0.25">
      <c r="A1599" t="s">
        <v>2198</v>
      </c>
      <c r="B1599" s="44">
        <v>2087</v>
      </c>
      <c r="C1599">
        <v>-8</v>
      </c>
    </row>
    <row r="1600" spans="1:3" x14ac:dyDescent="0.25">
      <c r="A1600" t="s">
        <v>2199</v>
      </c>
      <c r="B1600" s="44">
        <v>2087</v>
      </c>
      <c r="C1600">
        <v>-9</v>
      </c>
    </row>
    <row r="1601" spans="1:3" x14ac:dyDescent="0.25">
      <c r="A1601" t="s">
        <v>2200</v>
      </c>
      <c r="B1601" s="44">
        <v>2087</v>
      </c>
      <c r="C1601">
        <v>-8</v>
      </c>
    </row>
    <row r="1602" spans="1:3" x14ac:dyDescent="0.25">
      <c r="A1602" t="s">
        <v>2201</v>
      </c>
      <c r="B1602" s="44">
        <v>2185.0889999999999</v>
      </c>
      <c r="C1602">
        <v>-9</v>
      </c>
    </row>
    <row r="1603" spans="1:3" x14ac:dyDescent="0.25">
      <c r="A1603" t="s">
        <v>2202</v>
      </c>
      <c r="B1603" s="44">
        <v>2087</v>
      </c>
      <c r="C1603">
        <v>-9</v>
      </c>
    </row>
    <row r="1604" spans="1:3" x14ac:dyDescent="0.25">
      <c r="A1604" t="s">
        <v>2203</v>
      </c>
      <c r="B1604" s="44">
        <v>2087</v>
      </c>
      <c r="C1604">
        <v>-8</v>
      </c>
    </row>
    <row r="1605" spans="1:3" x14ac:dyDescent="0.25">
      <c r="A1605" t="s">
        <v>2204</v>
      </c>
      <c r="B1605" s="44">
        <v>2185.0889999999999</v>
      </c>
      <c r="C1605">
        <v>-9</v>
      </c>
    </row>
    <row r="1606" spans="1:3" x14ac:dyDescent="0.25">
      <c r="A1606" t="s">
        <v>2205</v>
      </c>
      <c r="B1606" s="44">
        <v>2379.1800000000003</v>
      </c>
      <c r="C1606">
        <v>-10</v>
      </c>
    </row>
    <row r="1607" spans="1:3" x14ac:dyDescent="0.25">
      <c r="A1607" t="s">
        <v>2206</v>
      </c>
      <c r="B1607" s="44">
        <v>2185.0889999999999</v>
      </c>
      <c r="C1607">
        <v>-9</v>
      </c>
    </row>
    <row r="1608" spans="1:3" x14ac:dyDescent="0.25">
      <c r="A1608" t="s">
        <v>2207</v>
      </c>
      <c r="B1608" s="44">
        <v>2548.2270000000003</v>
      </c>
      <c r="C1608">
        <v>-11</v>
      </c>
    </row>
    <row r="1609" spans="1:3" x14ac:dyDescent="0.25">
      <c r="A1609" t="s">
        <v>2208</v>
      </c>
      <c r="B1609" s="44">
        <v>2379.1800000000003</v>
      </c>
      <c r="C1609">
        <v>-10</v>
      </c>
    </row>
    <row r="1610" spans="1:3" x14ac:dyDescent="0.25">
      <c r="A1610" t="s">
        <v>2209</v>
      </c>
      <c r="B1610" s="44">
        <v>2281.0909999999999</v>
      </c>
      <c r="C1610">
        <v>-9</v>
      </c>
    </row>
    <row r="1611" spans="1:3" x14ac:dyDescent="0.25">
      <c r="A1611" t="s">
        <v>2210</v>
      </c>
      <c r="B1611" s="44">
        <v>2185.0889999999999</v>
      </c>
      <c r="C1611">
        <v>-8</v>
      </c>
    </row>
    <row r="1612" spans="1:3" x14ac:dyDescent="0.25">
      <c r="A1612" t="s">
        <v>2211</v>
      </c>
      <c r="B1612" s="44">
        <v>2087</v>
      </c>
      <c r="C1612">
        <v>-9</v>
      </c>
    </row>
    <row r="1613" spans="1:3" x14ac:dyDescent="0.25">
      <c r="A1613" t="s">
        <v>2212</v>
      </c>
      <c r="B1613" s="44">
        <v>2185.0889999999999</v>
      </c>
      <c r="C1613">
        <v>-9</v>
      </c>
    </row>
    <row r="1614" spans="1:3" x14ac:dyDescent="0.25">
      <c r="A1614" t="s">
        <v>2213</v>
      </c>
      <c r="B1614" s="44">
        <v>2548.2270000000003</v>
      </c>
      <c r="C1614">
        <v>-11</v>
      </c>
    </row>
    <row r="1615" spans="1:3" x14ac:dyDescent="0.25">
      <c r="A1615" t="s">
        <v>2214</v>
      </c>
      <c r="B1615" s="44">
        <v>2185.0889999999999</v>
      </c>
      <c r="C1615">
        <v>-9</v>
      </c>
    </row>
    <row r="1616" spans="1:3" x14ac:dyDescent="0.25">
      <c r="A1616" t="s">
        <v>2215</v>
      </c>
      <c r="B1616" s="44">
        <v>2087</v>
      </c>
      <c r="C1616">
        <v>-8</v>
      </c>
    </row>
    <row r="1617" spans="1:3" x14ac:dyDescent="0.25">
      <c r="A1617" t="s">
        <v>2216</v>
      </c>
      <c r="B1617" s="44">
        <v>2185.0889999999999</v>
      </c>
      <c r="C1617">
        <v>-8</v>
      </c>
    </row>
    <row r="1618" spans="1:3" x14ac:dyDescent="0.25">
      <c r="A1618" t="s">
        <v>2217</v>
      </c>
      <c r="B1618" s="44">
        <v>2185.0889999999999</v>
      </c>
      <c r="C1618">
        <v>-9</v>
      </c>
    </row>
    <row r="1619" spans="1:3" x14ac:dyDescent="0.25">
      <c r="A1619" t="s">
        <v>2218</v>
      </c>
      <c r="B1619" s="44">
        <v>2379.1800000000003</v>
      </c>
      <c r="C1619">
        <v>-10</v>
      </c>
    </row>
    <row r="1620" spans="1:3" x14ac:dyDescent="0.25">
      <c r="A1620" t="s">
        <v>2219</v>
      </c>
      <c r="B1620" s="44">
        <v>2087</v>
      </c>
      <c r="C1620">
        <v>-8</v>
      </c>
    </row>
    <row r="1621" spans="1:3" x14ac:dyDescent="0.25">
      <c r="A1621" t="s">
        <v>2220</v>
      </c>
      <c r="B1621" s="44">
        <v>2087</v>
      </c>
      <c r="C1621">
        <v>-8</v>
      </c>
    </row>
    <row r="1622" spans="1:3" x14ac:dyDescent="0.25">
      <c r="A1622" t="s">
        <v>2213</v>
      </c>
      <c r="B1622" s="44">
        <v>2281.0909999999999</v>
      </c>
      <c r="C1622">
        <v>-9</v>
      </c>
    </row>
    <row r="1623" spans="1:3" x14ac:dyDescent="0.25">
      <c r="A1623" t="s">
        <v>2221</v>
      </c>
      <c r="B1623" s="44">
        <v>2281.0909999999999</v>
      </c>
      <c r="C1623">
        <v>-10</v>
      </c>
    </row>
    <row r="1624" spans="1:3" x14ac:dyDescent="0.25">
      <c r="A1624" t="s">
        <v>2222</v>
      </c>
      <c r="B1624" s="44">
        <v>2185.0889999999999</v>
      </c>
      <c r="C1624">
        <v>-9</v>
      </c>
    </row>
    <row r="1625" spans="1:3" x14ac:dyDescent="0.25">
      <c r="A1625" t="s">
        <v>2223</v>
      </c>
      <c r="B1625" s="44">
        <v>2087</v>
      </c>
      <c r="C1625">
        <v>-9</v>
      </c>
    </row>
    <row r="1626" spans="1:3" x14ac:dyDescent="0.25">
      <c r="A1626" t="s">
        <v>2224</v>
      </c>
      <c r="B1626" s="44">
        <v>2185.0889999999999</v>
      </c>
      <c r="C1626">
        <v>-9</v>
      </c>
    </row>
    <row r="1627" spans="1:3" x14ac:dyDescent="0.25">
      <c r="A1627" t="s">
        <v>2225</v>
      </c>
      <c r="B1627" s="44">
        <v>2087</v>
      </c>
      <c r="C1627">
        <v>-8</v>
      </c>
    </row>
    <row r="1628" spans="1:3" x14ac:dyDescent="0.25">
      <c r="A1628" t="s">
        <v>2226</v>
      </c>
      <c r="B1628" s="44">
        <v>2281.0909999999999</v>
      </c>
      <c r="C1628">
        <v>-9</v>
      </c>
    </row>
    <row r="1629" spans="1:3" x14ac:dyDescent="0.25">
      <c r="A1629" t="s">
        <v>2227</v>
      </c>
      <c r="B1629" s="44">
        <v>2087</v>
      </c>
      <c r="C1629">
        <v>-8</v>
      </c>
    </row>
    <row r="1630" spans="1:3" x14ac:dyDescent="0.25">
      <c r="A1630" t="s">
        <v>2228</v>
      </c>
      <c r="B1630" s="44">
        <v>2281.0909999999999</v>
      </c>
      <c r="C1630">
        <v>-9</v>
      </c>
    </row>
    <row r="1631" spans="1:3" x14ac:dyDescent="0.25">
      <c r="A1631" t="s">
        <v>2229</v>
      </c>
      <c r="B1631" s="44">
        <v>2548.2270000000003</v>
      </c>
      <c r="C1631">
        <v>-11</v>
      </c>
    </row>
    <row r="1632" spans="1:3" x14ac:dyDescent="0.25">
      <c r="A1632" t="s">
        <v>2230</v>
      </c>
      <c r="B1632" s="44">
        <v>2087</v>
      </c>
      <c r="C1632">
        <v>-8</v>
      </c>
    </row>
    <row r="1633" spans="1:3" x14ac:dyDescent="0.25">
      <c r="A1633" t="s">
        <v>2231</v>
      </c>
      <c r="B1633" s="44">
        <v>2087</v>
      </c>
      <c r="C1633">
        <v>-8</v>
      </c>
    </row>
    <row r="1634" spans="1:3" x14ac:dyDescent="0.25">
      <c r="A1634" t="s">
        <v>2232</v>
      </c>
      <c r="B1634" s="44">
        <v>2379.1800000000003</v>
      </c>
      <c r="C1634">
        <v>-10</v>
      </c>
    </row>
    <row r="1635" spans="1:3" x14ac:dyDescent="0.25">
      <c r="A1635" t="s">
        <v>2233</v>
      </c>
      <c r="B1635" s="44">
        <v>2087</v>
      </c>
      <c r="C1635">
        <v>-8</v>
      </c>
    </row>
    <row r="1636" spans="1:3" x14ac:dyDescent="0.25">
      <c r="A1636" t="s">
        <v>2234</v>
      </c>
      <c r="B1636" s="44">
        <v>1988.9109999999998</v>
      </c>
      <c r="C1636">
        <v>-8</v>
      </c>
    </row>
    <row r="1637" spans="1:3" x14ac:dyDescent="0.25">
      <c r="A1637" t="s">
        <v>2235</v>
      </c>
      <c r="B1637" s="44">
        <v>1988.9109999999998</v>
      </c>
      <c r="C1637">
        <v>-8</v>
      </c>
    </row>
    <row r="1638" spans="1:3" x14ac:dyDescent="0.25">
      <c r="A1638" t="s">
        <v>2236</v>
      </c>
      <c r="B1638" s="44">
        <v>1988.9109999999998</v>
      </c>
      <c r="C1638">
        <v>-8</v>
      </c>
    </row>
    <row r="1639" spans="1:3" x14ac:dyDescent="0.25">
      <c r="A1639" t="s">
        <v>2237</v>
      </c>
      <c r="B1639" s="44">
        <v>2087</v>
      </c>
      <c r="C1639">
        <v>-8</v>
      </c>
    </row>
    <row r="1640" spans="1:3" x14ac:dyDescent="0.25">
      <c r="A1640" t="s">
        <v>2238</v>
      </c>
      <c r="B1640" s="44">
        <v>2087</v>
      </c>
      <c r="C1640">
        <v>-8</v>
      </c>
    </row>
    <row r="1641" spans="1:3" x14ac:dyDescent="0.25">
      <c r="A1641" t="s">
        <v>2239</v>
      </c>
      <c r="B1641" s="44">
        <v>2281.0909999999999</v>
      </c>
      <c r="C1641">
        <v>-10</v>
      </c>
    </row>
    <row r="1642" spans="1:3" x14ac:dyDescent="0.25">
      <c r="A1642" t="s">
        <v>2240</v>
      </c>
      <c r="B1642" s="44">
        <v>2790.319</v>
      </c>
      <c r="C1642">
        <v>-11</v>
      </c>
    </row>
    <row r="1643" spans="1:3" x14ac:dyDescent="0.25">
      <c r="A1643" t="s">
        <v>2241</v>
      </c>
      <c r="B1643" s="44">
        <v>2281.0909999999999</v>
      </c>
      <c r="C1643">
        <v>-10</v>
      </c>
    </row>
    <row r="1644" spans="1:3" x14ac:dyDescent="0.25">
      <c r="A1644" t="s">
        <v>2242</v>
      </c>
      <c r="B1644" s="44">
        <v>2087</v>
      </c>
      <c r="C1644">
        <v>-9</v>
      </c>
    </row>
    <row r="1645" spans="1:3" x14ac:dyDescent="0.25">
      <c r="A1645" t="s">
        <v>2243</v>
      </c>
      <c r="B1645" s="44">
        <v>2185.0889999999999</v>
      </c>
      <c r="C1645">
        <v>-8</v>
      </c>
    </row>
    <row r="1646" spans="1:3" x14ac:dyDescent="0.25">
      <c r="A1646" t="s">
        <v>2244</v>
      </c>
      <c r="B1646" s="44">
        <v>2185.0889999999999</v>
      </c>
      <c r="C1646">
        <v>-8</v>
      </c>
    </row>
    <row r="1647" spans="1:3" x14ac:dyDescent="0.25">
      <c r="A1647" t="s">
        <v>2245</v>
      </c>
      <c r="B1647" s="44">
        <v>2379.1800000000003</v>
      </c>
      <c r="C1647">
        <v>-10</v>
      </c>
    </row>
    <row r="1648" spans="1:3" x14ac:dyDescent="0.25">
      <c r="A1648" t="s">
        <v>2246</v>
      </c>
      <c r="B1648" s="44">
        <v>2185.0889999999999</v>
      </c>
      <c r="C1648">
        <v>-9</v>
      </c>
    </row>
    <row r="1649" spans="1:3" x14ac:dyDescent="0.25">
      <c r="A1649" t="s">
        <v>2247</v>
      </c>
      <c r="B1649" s="44">
        <v>2281.0909999999999</v>
      </c>
      <c r="C1649">
        <v>-9</v>
      </c>
    </row>
    <row r="1650" spans="1:3" x14ac:dyDescent="0.25">
      <c r="A1650" t="s">
        <v>2248</v>
      </c>
      <c r="B1650" s="44">
        <v>2281.0909999999999</v>
      </c>
      <c r="C1650">
        <v>-9</v>
      </c>
    </row>
    <row r="1651" spans="1:3" x14ac:dyDescent="0.25">
      <c r="A1651" t="s">
        <v>2249</v>
      </c>
      <c r="B1651" s="44">
        <v>1988.9109999999998</v>
      </c>
      <c r="C1651">
        <v>-8</v>
      </c>
    </row>
    <row r="1652" spans="1:3" x14ac:dyDescent="0.25">
      <c r="A1652" t="s">
        <v>2250</v>
      </c>
      <c r="B1652" s="44">
        <v>2281.0909999999999</v>
      </c>
      <c r="C1652">
        <v>-10</v>
      </c>
    </row>
    <row r="1653" spans="1:3" x14ac:dyDescent="0.25">
      <c r="A1653" t="s">
        <v>2251</v>
      </c>
      <c r="B1653" s="44">
        <v>2087</v>
      </c>
      <c r="C1653">
        <v>-8</v>
      </c>
    </row>
    <row r="1654" spans="1:3" x14ac:dyDescent="0.25">
      <c r="A1654" t="s">
        <v>2252</v>
      </c>
      <c r="B1654" s="44">
        <v>2087</v>
      </c>
      <c r="C1654">
        <v>-8</v>
      </c>
    </row>
    <row r="1655" spans="1:3" x14ac:dyDescent="0.25">
      <c r="A1655" t="s">
        <v>2253</v>
      </c>
      <c r="B1655" s="44">
        <v>1988.9109999999998</v>
      </c>
      <c r="C1655">
        <v>-8</v>
      </c>
    </row>
    <row r="1656" spans="1:3" x14ac:dyDescent="0.25">
      <c r="A1656" t="s">
        <v>2254</v>
      </c>
      <c r="B1656" s="44">
        <v>2185.0889999999999</v>
      </c>
      <c r="C1656">
        <v>-9</v>
      </c>
    </row>
    <row r="1657" spans="1:3" x14ac:dyDescent="0.25">
      <c r="A1657" t="s">
        <v>2254</v>
      </c>
      <c r="B1657" s="44">
        <v>2087</v>
      </c>
      <c r="C1657">
        <v>-8</v>
      </c>
    </row>
    <row r="1658" spans="1:3" x14ac:dyDescent="0.25">
      <c r="A1658" t="s">
        <v>2255</v>
      </c>
      <c r="B1658" s="44">
        <v>2790.319</v>
      </c>
      <c r="C1658">
        <v>-11</v>
      </c>
    </row>
    <row r="1659" spans="1:3" x14ac:dyDescent="0.25">
      <c r="A1659" t="s">
        <v>2256</v>
      </c>
      <c r="B1659" s="44">
        <v>2185.0889999999999</v>
      </c>
      <c r="C1659">
        <v>-9</v>
      </c>
    </row>
    <row r="1660" spans="1:3" x14ac:dyDescent="0.25">
      <c r="A1660" t="s">
        <v>2257</v>
      </c>
      <c r="B1660" s="44">
        <v>2281.0909999999999</v>
      </c>
      <c r="C1660">
        <v>-9</v>
      </c>
    </row>
    <row r="1661" spans="1:3" x14ac:dyDescent="0.25">
      <c r="A1661" t="s">
        <v>2258</v>
      </c>
      <c r="B1661" s="44">
        <v>2087</v>
      </c>
      <c r="C1661">
        <v>-9</v>
      </c>
    </row>
    <row r="1662" spans="1:3" x14ac:dyDescent="0.25">
      <c r="A1662" t="s">
        <v>2258</v>
      </c>
      <c r="B1662" s="44">
        <v>1988.9109999999998</v>
      </c>
      <c r="C1662">
        <v>-8</v>
      </c>
    </row>
    <row r="1663" spans="1:3" x14ac:dyDescent="0.25">
      <c r="A1663" t="s">
        <v>2259</v>
      </c>
      <c r="B1663" s="44">
        <v>1988.9109999999998</v>
      </c>
      <c r="C1663">
        <v>-8</v>
      </c>
    </row>
    <row r="1664" spans="1:3" x14ac:dyDescent="0.25">
      <c r="A1664" t="s">
        <v>2260</v>
      </c>
      <c r="B1664" s="44">
        <v>2087</v>
      </c>
      <c r="C1664">
        <v>-8</v>
      </c>
    </row>
    <row r="1665" spans="1:3" x14ac:dyDescent="0.25">
      <c r="A1665" t="s">
        <v>2261</v>
      </c>
      <c r="B1665" s="44">
        <v>2790.319</v>
      </c>
      <c r="C1665">
        <v>-10</v>
      </c>
    </row>
    <row r="1666" spans="1:3" x14ac:dyDescent="0.25">
      <c r="A1666" t="s">
        <v>2262</v>
      </c>
      <c r="B1666" s="44">
        <v>2087</v>
      </c>
      <c r="C1666">
        <v>-9</v>
      </c>
    </row>
    <row r="1667" spans="1:3" x14ac:dyDescent="0.25">
      <c r="A1667" t="s">
        <v>2263</v>
      </c>
      <c r="B1667" s="44">
        <v>1988.9109999999998</v>
      </c>
      <c r="C1667">
        <v>-8</v>
      </c>
    </row>
    <row r="1668" spans="1:3" x14ac:dyDescent="0.25">
      <c r="A1668" t="s">
        <v>2264</v>
      </c>
      <c r="B1668" s="44">
        <v>2379.1800000000003</v>
      </c>
      <c r="C1668">
        <v>-10</v>
      </c>
    </row>
    <row r="1669" spans="1:3" x14ac:dyDescent="0.25">
      <c r="A1669" t="s">
        <v>2265</v>
      </c>
      <c r="B1669" s="44">
        <v>2379.1800000000003</v>
      </c>
      <c r="C1669">
        <v>-10</v>
      </c>
    </row>
    <row r="1670" spans="1:3" x14ac:dyDescent="0.25">
      <c r="A1670" t="s">
        <v>2266</v>
      </c>
      <c r="B1670" s="44">
        <v>2379.1800000000003</v>
      </c>
      <c r="C1670">
        <v>-10</v>
      </c>
    </row>
    <row r="1671" spans="1:3" x14ac:dyDescent="0.25">
      <c r="A1671" t="s">
        <v>2267</v>
      </c>
      <c r="B1671" s="44">
        <v>2087</v>
      </c>
      <c r="C1671">
        <v>-8</v>
      </c>
    </row>
    <row r="1672" spans="1:3" x14ac:dyDescent="0.25">
      <c r="A1672" t="s">
        <v>2268</v>
      </c>
      <c r="B1672" s="44">
        <v>2548.2270000000003</v>
      </c>
      <c r="C1672">
        <v>-11</v>
      </c>
    </row>
    <row r="1673" spans="1:3" x14ac:dyDescent="0.25">
      <c r="A1673" t="s">
        <v>2269</v>
      </c>
      <c r="B1673" s="44">
        <v>2548.2270000000003</v>
      </c>
      <c r="C1673">
        <v>-11</v>
      </c>
    </row>
    <row r="1674" spans="1:3" x14ac:dyDescent="0.25">
      <c r="A1674" t="s">
        <v>2270</v>
      </c>
      <c r="B1674" s="44">
        <v>2281.0909999999999</v>
      </c>
      <c r="C1674">
        <v>-9</v>
      </c>
    </row>
    <row r="1675" spans="1:3" x14ac:dyDescent="0.25">
      <c r="A1675" t="s">
        <v>2271</v>
      </c>
      <c r="B1675" s="44">
        <v>2281.0909999999999</v>
      </c>
      <c r="C1675">
        <v>-9</v>
      </c>
    </row>
    <row r="1676" spans="1:3" x14ac:dyDescent="0.25">
      <c r="A1676" t="s">
        <v>184</v>
      </c>
      <c r="B1676" s="44">
        <v>2281.0909999999999</v>
      </c>
      <c r="C1676">
        <v>-9</v>
      </c>
    </row>
    <row r="1677" spans="1:3" x14ac:dyDescent="0.25">
      <c r="A1677" t="s">
        <v>2272</v>
      </c>
      <c r="B1677" s="44">
        <v>2281.0909999999999</v>
      </c>
      <c r="C1677">
        <v>-10</v>
      </c>
    </row>
    <row r="1678" spans="1:3" x14ac:dyDescent="0.25">
      <c r="A1678" t="s">
        <v>2273</v>
      </c>
      <c r="B1678" s="44">
        <v>2281.0909999999999</v>
      </c>
      <c r="C1678">
        <v>-9</v>
      </c>
    </row>
    <row r="1679" spans="1:3" x14ac:dyDescent="0.25">
      <c r="A1679" t="s">
        <v>2274</v>
      </c>
      <c r="B1679" s="44">
        <v>2548.2270000000003</v>
      </c>
      <c r="C1679">
        <v>-11</v>
      </c>
    </row>
    <row r="1680" spans="1:3" x14ac:dyDescent="0.25">
      <c r="A1680" t="s">
        <v>2275</v>
      </c>
      <c r="B1680" s="44">
        <v>2548.2270000000003</v>
      </c>
      <c r="C1680">
        <v>-10</v>
      </c>
    </row>
    <row r="1681" spans="1:3" x14ac:dyDescent="0.25">
      <c r="A1681" t="s">
        <v>2276</v>
      </c>
      <c r="B1681" s="44">
        <v>2281.0909999999999</v>
      </c>
      <c r="C1681">
        <v>-10</v>
      </c>
    </row>
    <row r="1682" spans="1:3" x14ac:dyDescent="0.25">
      <c r="A1682" t="s">
        <v>2277</v>
      </c>
      <c r="B1682" s="44">
        <v>1988.9109999999998</v>
      </c>
      <c r="C1682">
        <v>-8</v>
      </c>
    </row>
    <row r="1683" spans="1:3" x14ac:dyDescent="0.25">
      <c r="A1683" t="s">
        <v>2278</v>
      </c>
      <c r="B1683" s="44">
        <v>2087</v>
      </c>
      <c r="C1683">
        <v>-8</v>
      </c>
    </row>
    <row r="1684" spans="1:3" x14ac:dyDescent="0.25">
      <c r="A1684" t="s">
        <v>2279</v>
      </c>
      <c r="B1684" s="44">
        <v>2087</v>
      </c>
      <c r="C1684">
        <v>-8</v>
      </c>
    </row>
    <row r="1685" spans="1:3" x14ac:dyDescent="0.25">
      <c r="A1685" t="s">
        <v>2279</v>
      </c>
      <c r="B1685" s="44">
        <v>2087</v>
      </c>
      <c r="C1685">
        <v>-8</v>
      </c>
    </row>
    <row r="1686" spans="1:3" x14ac:dyDescent="0.25">
      <c r="A1686" t="s">
        <v>2280</v>
      </c>
      <c r="B1686" s="44">
        <v>2087</v>
      </c>
      <c r="C1686">
        <v>-8</v>
      </c>
    </row>
    <row r="1687" spans="1:3" x14ac:dyDescent="0.25">
      <c r="A1687" t="s">
        <v>2281</v>
      </c>
      <c r="B1687" s="44">
        <v>2087</v>
      </c>
      <c r="C1687">
        <v>-8</v>
      </c>
    </row>
    <row r="1688" spans="1:3" x14ac:dyDescent="0.25">
      <c r="A1688" t="s">
        <v>2282</v>
      </c>
      <c r="B1688" s="44">
        <v>2087</v>
      </c>
      <c r="C1688">
        <v>-8</v>
      </c>
    </row>
    <row r="1689" spans="1:3" x14ac:dyDescent="0.25">
      <c r="A1689" t="s">
        <v>2283</v>
      </c>
      <c r="B1689" s="44">
        <v>2087</v>
      </c>
      <c r="C1689">
        <v>-8</v>
      </c>
    </row>
    <row r="1690" spans="1:3" x14ac:dyDescent="0.25">
      <c r="A1690" t="s">
        <v>2284</v>
      </c>
      <c r="B1690" s="44">
        <v>2087</v>
      </c>
      <c r="C1690">
        <v>-8</v>
      </c>
    </row>
    <row r="1691" spans="1:3" x14ac:dyDescent="0.25">
      <c r="A1691" t="s">
        <v>2285</v>
      </c>
      <c r="B1691" s="44">
        <v>2087</v>
      </c>
      <c r="C1691">
        <v>-8</v>
      </c>
    </row>
    <row r="1692" spans="1:3" x14ac:dyDescent="0.25">
      <c r="A1692" t="s">
        <v>2286</v>
      </c>
      <c r="B1692" s="44">
        <v>2087</v>
      </c>
      <c r="C1692">
        <v>-8</v>
      </c>
    </row>
    <row r="1693" spans="1:3" x14ac:dyDescent="0.25">
      <c r="A1693" t="s">
        <v>2287</v>
      </c>
      <c r="B1693" s="44">
        <v>2185.0889999999999</v>
      </c>
      <c r="C1693">
        <v>-9</v>
      </c>
    </row>
    <row r="1694" spans="1:3" x14ac:dyDescent="0.25">
      <c r="A1694" t="s">
        <v>2288</v>
      </c>
      <c r="B1694" s="44">
        <v>2185.0889999999999</v>
      </c>
      <c r="C1694">
        <v>-8</v>
      </c>
    </row>
    <row r="1695" spans="1:3" x14ac:dyDescent="0.25">
      <c r="A1695" t="s">
        <v>2289</v>
      </c>
      <c r="B1695" s="44">
        <v>2087</v>
      </c>
      <c r="C1695">
        <v>-8</v>
      </c>
    </row>
    <row r="1696" spans="1:3" x14ac:dyDescent="0.25">
      <c r="A1696" t="s">
        <v>2290</v>
      </c>
      <c r="B1696" s="44">
        <v>2087</v>
      </c>
      <c r="C1696">
        <v>-8</v>
      </c>
    </row>
    <row r="1697" spans="1:3" x14ac:dyDescent="0.25">
      <c r="A1697" t="s">
        <v>2291</v>
      </c>
      <c r="B1697" s="44">
        <v>2087</v>
      </c>
      <c r="C1697">
        <v>-8</v>
      </c>
    </row>
    <row r="1698" spans="1:3" x14ac:dyDescent="0.25">
      <c r="A1698" t="s">
        <v>2292</v>
      </c>
      <c r="B1698" s="44">
        <v>2087</v>
      </c>
      <c r="C1698">
        <v>-8</v>
      </c>
    </row>
    <row r="1699" spans="1:3" x14ac:dyDescent="0.25">
      <c r="A1699" t="s">
        <v>2293</v>
      </c>
      <c r="B1699" s="44">
        <v>2087</v>
      </c>
      <c r="C1699">
        <v>-8</v>
      </c>
    </row>
    <row r="1700" spans="1:3" x14ac:dyDescent="0.25">
      <c r="A1700" t="s">
        <v>2294</v>
      </c>
      <c r="B1700" s="44">
        <v>2185.0889999999999</v>
      </c>
      <c r="C1700">
        <v>-9</v>
      </c>
    </row>
    <row r="1701" spans="1:3" x14ac:dyDescent="0.25">
      <c r="A1701" t="s">
        <v>2295</v>
      </c>
      <c r="B1701" s="44">
        <v>2185.0889999999999</v>
      </c>
      <c r="C1701">
        <v>-9</v>
      </c>
    </row>
    <row r="1702" spans="1:3" x14ac:dyDescent="0.25">
      <c r="A1702" t="s">
        <v>2296</v>
      </c>
      <c r="B1702" s="44">
        <v>2087</v>
      </c>
      <c r="C1702">
        <v>-8</v>
      </c>
    </row>
    <row r="1703" spans="1:3" x14ac:dyDescent="0.25">
      <c r="A1703" t="s">
        <v>2297</v>
      </c>
      <c r="B1703" s="44">
        <v>2087</v>
      </c>
      <c r="C1703">
        <v>-8</v>
      </c>
    </row>
    <row r="1704" spans="1:3" x14ac:dyDescent="0.25">
      <c r="A1704" t="s">
        <v>2298</v>
      </c>
      <c r="B1704" s="44">
        <v>2087</v>
      </c>
      <c r="C1704">
        <v>-8</v>
      </c>
    </row>
    <row r="1705" spans="1:3" x14ac:dyDescent="0.25">
      <c r="A1705" t="s">
        <v>2299</v>
      </c>
      <c r="B1705" s="44">
        <v>2087</v>
      </c>
      <c r="C1705">
        <v>-8</v>
      </c>
    </row>
    <row r="1706" spans="1:3" x14ac:dyDescent="0.25">
      <c r="A1706" t="s">
        <v>2300</v>
      </c>
      <c r="B1706" s="44">
        <v>2185.0889999999999</v>
      </c>
      <c r="C1706">
        <v>-8</v>
      </c>
    </row>
    <row r="1707" spans="1:3" x14ac:dyDescent="0.25">
      <c r="A1707" t="s">
        <v>2301</v>
      </c>
      <c r="B1707" s="44">
        <v>2281.0909999999999</v>
      </c>
      <c r="C1707">
        <v>-9</v>
      </c>
    </row>
    <row r="1708" spans="1:3" x14ac:dyDescent="0.25">
      <c r="A1708" t="s">
        <v>2302</v>
      </c>
      <c r="B1708" s="44">
        <v>2087</v>
      </c>
      <c r="C1708">
        <v>-8</v>
      </c>
    </row>
    <row r="1709" spans="1:3" x14ac:dyDescent="0.25">
      <c r="A1709" t="s">
        <v>2303</v>
      </c>
      <c r="B1709" s="44">
        <v>2379.1800000000003</v>
      </c>
      <c r="C1709">
        <v>-10</v>
      </c>
    </row>
    <row r="1710" spans="1:3" x14ac:dyDescent="0.25">
      <c r="A1710" t="s">
        <v>2304</v>
      </c>
      <c r="B1710" s="44">
        <v>2379.1800000000003</v>
      </c>
      <c r="C1710">
        <v>-10</v>
      </c>
    </row>
    <row r="1711" spans="1:3" x14ac:dyDescent="0.25">
      <c r="A1711" t="s">
        <v>2305</v>
      </c>
      <c r="B1711" s="44">
        <v>2281.0909999999999</v>
      </c>
      <c r="C1711">
        <v>-9</v>
      </c>
    </row>
    <row r="1712" spans="1:3" x14ac:dyDescent="0.25">
      <c r="A1712" t="s">
        <v>2305</v>
      </c>
      <c r="B1712" s="44">
        <v>2790.319</v>
      </c>
      <c r="C1712">
        <v>-11</v>
      </c>
    </row>
    <row r="1713" spans="1:3" x14ac:dyDescent="0.25">
      <c r="A1713" t="s">
        <v>2306</v>
      </c>
      <c r="B1713" s="44">
        <v>2087</v>
      </c>
      <c r="C1713">
        <v>-8</v>
      </c>
    </row>
    <row r="1714" spans="1:3" x14ac:dyDescent="0.25">
      <c r="A1714" t="s">
        <v>2307</v>
      </c>
      <c r="B1714" s="44">
        <v>2087</v>
      </c>
      <c r="C1714">
        <v>-8</v>
      </c>
    </row>
    <row r="1715" spans="1:3" x14ac:dyDescent="0.25">
      <c r="A1715" t="s">
        <v>2308</v>
      </c>
      <c r="B1715" s="44">
        <v>2281.0909999999999</v>
      </c>
      <c r="C1715">
        <v>-10</v>
      </c>
    </row>
    <row r="1716" spans="1:3" x14ac:dyDescent="0.25">
      <c r="A1716" t="s">
        <v>2309</v>
      </c>
      <c r="B1716" s="44">
        <v>2281.0909999999999</v>
      </c>
      <c r="C1716">
        <v>-9</v>
      </c>
    </row>
    <row r="1717" spans="1:3" x14ac:dyDescent="0.25">
      <c r="A1717" t="s">
        <v>2310</v>
      </c>
      <c r="B1717" s="44">
        <v>2281.0909999999999</v>
      </c>
      <c r="C1717">
        <v>-9</v>
      </c>
    </row>
    <row r="1718" spans="1:3" x14ac:dyDescent="0.25">
      <c r="A1718" t="s">
        <v>2311</v>
      </c>
      <c r="B1718" s="44">
        <v>2281.0909999999999</v>
      </c>
      <c r="C1718">
        <v>-10</v>
      </c>
    </row>
    <row r="1719" spans="1:3" x14ac:dyDescent="0.25">
      <c r="A1719" t="s">
        <v>2312</v>
      </c>
      <c r="B1719" s="44">
        <v>1988.9109999999998</v>
      </c>
      <c r="C1719">
        <v>-8</v>
      </c>
    </row>
    <row r="1720" spans="1:3" x14ac:dyDescent="0.25">
      <c r="A1720" t="s">
        <v>2313</v>
      </c>
      <c r="B1720" s="44">
        <v>2185.0889999999999</v>
      </c>
      <c r="C1720">
        <v>-8</v>
      </c>
    </row>
    <row r="1721" spans="1:3" x14ac:dyDescent="0.25">
      <c r="A1721" t="s">
        <v>2314</v>
      </c>
      <c r="B1721" s="44">
        <v>2087</v>
      </c>
      <c r="C1721">
        <v>-9</v>
      </c>
    </row>
    <row r="1722" spans="1:3" x14ac:dyDescent="0.25">
      <c r="A1722" t="s">
        <v>2315</v>
      </c>
      <c r="B1722" s="44">
        <v>1988.9109999999998</v>
      </c>
      <c r="C1722">
        <v>-8</v>
      </c>
    </row>
    <row r="1723" spans="1:3" x14ac:dyDescent="0.25">
      <c r="A1723" t="s">
        <v>2316</v>
      </c>
      <c r="B1723" s="44">
        <v>2087</v>
      </c>
      <c r="C1723">
        <v>-8</v>
      </c>
    </row>
    <row r="1724" spans="1:3" x14ac:dyDescent="0.25">
      <c r="A1724" t="s">
        <v>2317</v>
      </c>
      <c r="B1724" s="44">
        <v>1988.9109999999998</v>
      </c>
      <c r="C1724">
        <v>-8</v>
      </c>
    </row>
    <row r="1725" spans="1:3" x14ac:dyDescent="0.25">
      <c r="A1725" t="s">
        <v>2318</v>
      </c>
      <c r="B1725" s="44">
        <v>2087</v>
      </c>
      <c r="C1725">
        <v>-8</v>
      </c>
    </row>
    <row r="1726" spans="1:3" x14ac:dyDescent="0.25">
      <c r="A1726" t="s">
        <v>2318</v>
      </c>
      <c r="B1726" s="44">
        <v>2087</v>
      </c>
      <c r="C1726">
        <v>-8</v>
      </c>
    </row>
    <row r="1727" spans="1:3" x14ac:dyDescent="0.25">
      <c r="A1727" t="s">
        <v>2319</v>
      </c>
      <c r="B1727" s="44">
        <v>1988.9109999999998</v>
      </c>
      <c r="C1727">
        <v>-8</v>
      </c>
    </row>
    <row r="1728" spans="1:3" x14ac:dyDescent="0.25">
      <c r="A1728" t="s">
        <v>2320</v>
      </c>
      <c r="B1728" s="44">
        <v>1988.9109999999998</v>
      </c>
      <c r="C1728">
        <v>-8</v>
      </c>
    </row>
    <row r="1729" spans="1:3" x14ac:dyDescent="0.25">
      <c r="A1729" t="s">
        <v>2321</v>
      </c>
      <c r="B1729" s="44">
        <v>1892.9090000000001</v>
      </c>
      <c r="C1729">
        <v>-8</v>
      </c>
    </row>
    <row r="1730" spans="1:3" x14ac:dyDescent="0.25">
      <c r="A1730" t="s">
        <v>2322</v>
      </c>
      <c r="B1730" s="44">
        <v>1892.9090000000001</v>
      </c>
      <c r="C1730">
        <v>-7</v>
      </c>
    </row>
    <row r="1731" spans="1:3" x14ac:dyDescent="0.25">
      <c r="A1731" t="s">
        <v>2323</v>
      </c>
      <c r="B1731" s="44">
        <v>1892.9090000000001</v>
      </c>
      <c r="C1731">
        <v>-7</v>
      </c>
    </row>
    <row r="1732" spans="1:3" x14ac:dyDescent="0.25">
      <c r="A1732" t="s">
        <v>2324</v>
      </c>
      <c r="B1732" s="44">
        <v>2087</v>
      </c>
      <c r="C1732">
        <v>-8</v>
      </c>
    </row>
    <row r="1733" spans="1:3" x14ac:dyDescent="0.25">
      <c r="A1733" t="s">
        <v>2325</v>
      </c>
      <c r="B1733" s="44">
        <v>2087</v>
      </c>
      <c r="C1733">
        <v>-9</v>
      </c>
    </row>
    <row r="1734" spans="1:3" x14ac:dyDescent="0.25">
      <c r="A1734" t="s">
        <v>2326</v>
      </c>
      <c r="B1734" s="44">
        <v>2087</v>
      </c>
      <c r="C1734">
        <v>-9</v>
      </c>
    </row>
    <row r="1735" spans="1:3" x14ac:dyDescent="0.25">
      <c r="A1735" t="s">
        <v>2327</v>
      </c>
      <c r="B1735" s="44">
        <v>2087</v>
      </c>
      <c r="C1735">
        <v>-8</v>
      </c>
    </row>
    <row r="1736" spans="1:3" x14ac:dyDescent="0.25">
      <c r="A1736" t="s">
        <v>2328</v>
      </c>
      <c r="B1736" s="44">
        <v>2087</v>
      </c>
      <c r="C1736">
        <v>-8</v>
      </c>
    </row>
    <row r="1737" spans="1:3" x14ac:dyDescent="0.25">
      <c r="A1737" t="s">
        <v>2329</v>
      </c>
      <c r="B1737" s="44">
        <v>2379.1800000000003</v>
      </c>
      <c r="C1737">
        <v>-10</v>
      </c>
    </row>
    <row r="1738" spans="1:3" x14ac:dyDescent="0.25">
      <c r="A1738" t="s">
        <v>2330</v>
      </c>
      <c r="B1738" s="44">
        <v>2087</v>
      </c>
      <c r="C1738">
        <v>-9</v>
      </c>
    </row>
    <row r="1739" spans="1:3" x14ac:dyDescent="0.25">
      <c r="A1739" t="s">
        <v>2331</v>
      </c>
      <c r="B1739" s="44">
        <v>2379.1800000000003</v>
      </c>
      <c r="C1739">
        <v>-10</v>
      </c>
    </row>
    <row r="1740" spans="1:3" x14ac:dyDescent="0.25">
      <c r="A1740" t="s">
        <v>2332</v>
      </c>
      <c r="B1740" s="44">
        <v>2790.319</v>
      </c>
      <c r="C1740">
        <v>-11</v>
      </c>
    </row>
    <row r="1741" spans="1:3" x14ac:dyDescent="0.25">
      <c r="A1741" t="s">
        <v>2333</v>
      </c>
      <c r="B1741" s="44">
        <v>2548.2270000000003</v>
      </c>
      <c r="C1741">
        <v>-11</v>
      </c>
    </row>
    <row r="1742" spans="1:3" x14ac:dyDescent="0.25">
      <c r="A1742" t="s">
        <v>2334</v>
      </c>
      <c r="B1742" s="44">
        <v>2087</v>
      </c>
      <c r="C1742">
        <v>-8</v>
      </c>
    </row>
    <row r="1743" spans="1:3" x14ac:dyDescent="0.25">
      <c r="A1743" t="s">
        <v>2335</v>
      </c>
      <c r="B1743" s="44">
        <v>2087</v>
      </c>
      <c r="C1743">
        <v>-8</v>
      </c>
    </row>
    <row r="1744" spans="1:3" x14ac:dyDescent="0.25">
      <c r="A1744" t="s">
        <v>2336</v>
      </c>
      <c r="B1744" s="44">
        <v>2185.0889999999999</v>
      </c>
      <c r="C1744">
        <v>-8</v>
      </c>
    </row>
    <row r="1745" spans="1:3" x14ac:dyDescent="0.25">
      <c r="A1745" t="s">
        <v>2337</v>
      </c>
      <c r="B1745" s="44">
        <v>2790.319</v>
      </c>
      <c r="C1745">
        <v>-10</v>
      </c>
    </row>
    <row r="1746" spans="1:3" x14ac:dyDescent="0.25">
      <c r="A1746" t="s">
        <v>2338</v>
      </c>
      <c r="B1746" s="44">
        <v>2379.1800000000003</v>
      </c>
      <c r="C1746">
        <v>-10</v>
      </c>
    </row>
    <row r="1747" spans="1:3" x14ac:dyDescent="0.25">
      <c r="A1747" t="s">
        <v>2339</v>
      </c>
      <c r="B1747" s="44">
        <v>1988.9109999999998</v>
      </c>
      <c r="C1747">
        <v>-8</v>
      </c>
    </row>
    <row r="1748" spans="1:3" x14ac:dyDescent="0.25">
      <c r="A1748" t="s">
        <v>2340</v>
      </c>
      <c r="B1748" s="44">
        <v>2790.319</v>
      </c>
      <c r="C1748">
        <v>-11</v>
      </c>
    </row>
    <row r="1749" spans="1:3" x14ac:dyDescent="0.25">
      <c r="A1749" t="s">
        <v>2341</v>
      </c>
      <c r="B1749" s="44">
        <v>2087</v>
      </c>
      <c r="C1749">
        <v>-9</v>
      </c>
    </row>
    <row r="1750" spans="1:3" x14ac:dyDescent="0.25">
      <c r="A1750" t="s">
        <v>2342</v>
      </c>
      <c r="B1750" s="44">
        <v>1988.9109999999998</v>
      </c>
      <c r="C1750">
        <v>-8</v>
      </c>
    </row>
    <row r="1751" spans="1:3" x14ac:dyDescent="0.25">
      <c r="A1751" t="s">
        <v>2343</v>
      </c>
      <c r="B1751" s="44">
        <v>2087</v>
      </c>
      <c r="C1751">
        <v>-8</v>
      </c>
    </row>
    <row r="1752" spans="1:3" x14ac:dyDescent="0.25">
      <c r="A1752" t="s">
        <v>2344</v>
      </c>
      <c r="B1752" s="44">
        <v>2790.319</v>
      </c>
      <c r="C1752">
        <v>-11</v>
      </c>
    </row>
    <row r="1753" spans="1:3" x14ac:dyDescent="0.25">
      <c r="A1753" t="s">
        <v>2345</v>
      </c>
      <c r="B1753" s="44">
        <v>2185.0889999999999</v>
      </c>
      <c r="C1753">
        <v>-8</v>
      </c>
    </row>
    <row r="1754" spans="1:3" x14ac:dyDescent="0.25">
      <c r="A1754" t="s">
        <v>2346</v>
      </c>
      <c r="B1754" s="44">
        <v>2548.2270000000003</v>
      </c>
      <c r="C1754">
        <v>-11</v>
      </c>
    </row>
    <row r="1755" spans="1:3" x14ac:dyDescent="0.25">
      <c r="A1755" t="s">
        <v>2347</v>
      </c>
      <c r="B1755" s="44">
        <v>2185.0889999999999</v>
      </c>
      <c r="C1755">
        <v>-9</v>
      </c>
    </row>
    <row r="1756" spans="1:3" x14ac:dyDescent="0.25">
      <c r="A1756" t="s">
        <v>2348</v>
      </c>
      <c r="B1756" s="44">
        <v>2185.0889999999999</v>
      </c>
      <c r="C1756">
        <v>-9</v>
      </c>
    </row>
    <row r="1757" spans="1:3" x14ac:dyDescent="0.25">
      <c r="A1757" t="s">
        <v>2346</v>
      </c>
      <c r="B1757" s="44">
        <v>2185.0889999999999</v>
      </c>
      <c r="C1757">
        <v>-9</v>
      </c>
    </row>
    <row r="1758" spans="1:3" x14ac:dyDescent="0.25">
      <c r="A1758" t="s">
        <v>2349</v>
      </c>
      <c r="B1758" s="44">
        <v>2087</v>
      </c>
      <c r="C1758">
        <v>-8</v>
      </c>
    </row>
    <row r="1759" spans="1:3" x14ac:dyDescent="0.25">
      <c r="A1759" t="s">
        <v>2350</v>
      </c>
      <c r="B1759" s="44">
        <v>2185.0889999999999</v>
      </c>
      <c r="C1759">
        <v>-9</v>
      </c>
    </row>
    <row r="1760" spans="1:3" x14ac:dyDescent="0.25">
      <c r="A1760" t="s">
        <v>2351</v>
      </c>
      <c r="B1760" s="44">
        <v>2087</v>
      </c>
      <c r="C1760">
        <v>-8</v>
      </c>
    </row>
    <row r="1761" spans="1:3" x14ac:dyDescent="0.25">
      <c r="A1761" t="s">
        <v>2352</v>
      </c>
      <c r="B1761" s="44">
        <v>2087</v>
      </c>
      <c r="C1761">
        <v>-8</v>
      </c>
    </row>
    <row r="1762" spans="1:3" x14ac:dyDescent="0.25">
      <c r="A1762" t="s">
        <v>2353</v>
      </c>
      <c r="B1762" s="44">
        <v>2790.319</v>
      </c>
      <c r="C1762">
        <v>-11</v>
      </c>
    </row>
    <row r="1763" spans="1:3" x14ac:dyDescent="0.25">
      <c r="A1763" t="s">
        <v>2354</v>
      </c>
      <c r="B1763" s="44">
        <v>2281.0909999999999</v>
      </c>
      <c r="C1763">
        <v>-10</v>
      </c>
    </row>
    <row r="1764" spans="1:3" x14ac:dyDescent="0.25">
      <c r="A1764" t="s">
        <v>2355</v>
      </c>
      <c r="B1764" s="44">
        <v>2548.2270000000003</v>
      </c>
      <c r="C1764">
        <v>-11</v>
      </c>
    </row>
    <row r="1765" spans="1:3" x14ac:dyDescent="0.25">
      <c r="A1765" t="s">
        <v>2356</v>
      </c>
      <c r="B1765" s="44">
        <v>2185.0889999999999</v>
      </c>
      <c r="C1765">
        <v>-9</v>
      </c>
    </row>
    <row r="1766" spans="1:3" x14ac:dyDescent="0.25">
      <c r="A1766" t="s">
        <v>2357</v>
      </c>
      <c r="B1766" s="44">
        <v>1988.9109999999998</v>
      </c>
      <c r="C1766">
        <v>-8</v>
      </c>
    </row>
    <row r="1767" spans="1:3" x14ac:dyDescent="0.25">
      <c r="A1767" t="s">
        <v>2358</v>
      </c>
      <c r="B1767" s="44">
        <v>1988.9109999999998</v>
      </c>
      <c r="C1767">
        <v>-8</v>
      </c>
    </row>
    <row r="1768" spans="1:3" x14ac:dyDescent="0.25">
      <c r="A1768" t="s">
        <v>2359</v>
      </c>
      <c r="B1768" s="44">
        <v>1988.9109999999998</v>
      </c>
      <c r="C1768">
        <v>-8</v>
      </c>
    </row>
    <row r="1769" spans="1:3" x14ac:dyDescent="0.25">
      <c r="A1769" t="s">
        <v>2360</v>
      </c>
      <c r="B1769" s="44">
        <v>1892.9090000000001</v>
      </c>
      <c r="C1769">
        <v>-8</v>
      </c>
    </row>
    <row r="1770" spans="1:3" x14ac:dyDescent="0.25">
      <c r="A1770" t="s">
        <v>2361</v>
      </c>
      <c r="B1770" s="44">
        <v>1988.9109999999998</v>
      </c>
      <c r="C1770">
        <v>-8</v>
      </c>
    </row>
    <row r="1771" spans="1:3" x14ac:dyDescent="0.25">
      <c r="A1771" t="s">
        <v>2362</v>
      </c>
      <c r="B1771" s="44">
        <v>2087</v>
      </c>
      <c r="C1771">
        <v>-8</v>
      </c>
    </row>
    <row r="1772" spans="1:3" x14ac:dyDescent="0.25">
      <c r="A1772" t="s">
        <v>2363</v>
      </c>
      <c r="B1772" s="44">
        <v>2087</v>
      </c>
      <c r="C1772">
        <v>-8</v>
      </c>
    </row>
    <row r="1773" spans="1:3" x14ac:dyDescent="0.25">
      <c r="A1773" t="s">
        <v>2364</v>
      </c>
      <c r="B1773" s="44">
        <v>2087</v>
      </c>
      <c r="C1773">
        <v>-9</v>
      </c>
    </row>
    <row r="1774" spans="1:3" x14ac:dyDescent="0.25">
      <c r="A1774" t="s">
        <v>2365</v>
      </c>
      <c r="B1774" s="44">
        <v>2790.319</v>
      </c>
      <c r="C1774">
        <v>-11</v>
      </c>
    </row>
    <row r="1775" spans="1:3" x14ac:dyDescent="0.25">
      <c r="A1775" t="s">
        <v>2366</v>
      </c>
      <c r="B1775" s="44">
        <v>2087</v>
      </c>
      <c r="C1775">
        <v>-8</v>
      </c>
    </row>
    <row r="1776" spans="1:3" x14ac:dyDescent="0.25">
      <c r="A1776" t="s">
        <v>2367</v>
      </c>
      <c r="B1776" s="44">
        <v>2087</v>
      </c>
      <c r="C1776">
        <v>-8</v>
      </c>
    </row>
    <row r="1777" spans="1:3" x14ac:dyDescent="0.25">
      <c r="A1777" t="s">
        <v>2368</v>
      </c>
      <c r="B1777" s="44">
        <v>2281.0909999999999</v>
      </c>
      <c r="C1777">
        <v>-9</v>
      </c>
    </row>
    <row r="1778" spans="1:3" x14ac:dyDescent="0.25">
      <c r="A1778" t="s">
        <v>2369</v>
      </c>
      <c r="B1778" s="44">
        <v>2379.1800000000003</v>
      </c>
      <c r="C1778">
        <v>-10</v>
      </c>
    </row>
    <row r="1779" spans="1:3" x14ac:dyDescent="0.25">
      <c r="A1779" t="s">
        <v>2370</v>
      </c>
      <c r="B1779" s="44">
        <v>2087</v>
      </c>
      <c r="C1779">
        <v>-8</v>
      </c>
    </row>
    <row r="1780" spans="1:3" x14ac:dyDescent="0.25">
      <c r="A1780" t="s">
        <v>2371</v>
      </c>
      <c r="B1780" s="44">
        <v>2790.319</v>
      </c>
      <c r="C1780">
        <v>-11</v>
      </c>
    </row>
    <row r="1781" spans="1:3" x14ac:dyDescent="0.25">
      <c r="A1781" t="s">
        <v>2372</v>
      </c>
      <c r="B1781" s="44">
        <v>2087</v>
      </c>
      <c r="C1781">
        <v>-8</v>
      </c>
    </row>
    <row r="1782" spans="1:3" x14ac:dyDescent="0.25">
      <c r="A1782" t="s">
        <v>2373</v>
      </c>
      <c r="B1782" s="44">
        <v>2087</v>
      </c>
      <c r="C1782">
        <v>-9</v>
      </c>
    </row>
    <row r="1783" spans="1:3" x14ac:dyDescent="0.25">
      <c r="A1783" t="s">
        <v>2374</v>
      </c>
      <c r="B1783" s="44">
        <v>2185.0889999999999</v>
      </c>
      <c r="C1783">
        <v>-9</v>
      </c>
    </row>
    <row r="1784" spans="1:3" x14ac:dyDescent="0.25">
      <c r="A1784" t="s">
        <v>2375</v>
      </c>
      <c r="B1784" s="44">
        <v>2087</v>
      </c>
      <c r="C1784">
        <v>-8</v>
      </c>
    </row>
    <row r="1785" spans="1:3" x14ac:dyDescent="0.25">
      <c r="A1785" t="s">
        <v>2376</v>
      </c>
      <c r="B1785" s="44">
        <v>2379.1800000000003</v>
      </c>
      <c r="C1785">
        <v>-10</v>
      </c>
    </row>
    <row r="1786" spans="1:3" x14ac:dyDescent="0.25">
      <c r="A1786" t="s">
        <v>2377</v>
      </c>
      <c r="B1786" s="44">
        <v>2087</v>
      </c>
      <c r="C1786">
        <v>-9</v>
      </c>
    </row>
    <row r="1787" spans="1:3" x14ac:dyDescent="0.25">
      <c r="A1787" t="s">
        <v>2378</v>
      </c>
      <c r="B1787" s="44">
        <v>2379.1800000000003</v>
      </c>
      <c r="C1787">
        <v>-10</v>
      </c>
    </row>
    <row r="1788" spans="1:3" x14ac:dyDescent="0.25">
      <c r="A1788" t="s">
        <v>2379</v>
      </c>
      <c r="B1788" s="44">
        <v>1988.9109999999998</v>
      </c>
      <c r="C1788">
        <v>-8</v>
      </c>
    </row>
    <row r="1789" spans="1:3" x14ac:dyDescent="0.25">
      <c r="A1789" t="s">
        <v>2380</v>
      </c>
      <c r="B1789" s="44">
        <v>2185.0889999999999</v>
      </c>
      <c r="C1789">
        <v>-9</v>
      </c>
    </row>
    <row r="1790" spans="1:3" x14ac:dyDescent="0.25">
      <c r="A1790" t="s">
        <v>2381</v>
      </c>
      <c r="B1790" s="44">
        <v>2281.0909999999999</v>
      </c>
      <c r="C1790">
        <v>-9</v>
      </c>
    </row>
    <row r="1791" spans="1:3" x14ac:dyDescent="0.25">
      <c r="A1791" t="s">
        <v>2382</v>
      </c>
      <c r="B1791" s="44">
        <v>2379.1800000000003</v>
      </c>
      <c r="C1791">
        <v>-10</v>
      </c>
    </row>
    <row r="1792" spans="1:3" x14ac:dyDescent="0.25">
      <c r="A1792" t="s">
        <v>2383</v>
      </c>
      <c r="B1792" s="44">
        <v>2379.1800000000003</v>
      </c>
      <c r="C1792">
        <v>-10</v>
      </c>
    </row>
    <row r="1793" spans="1:3" x14ac:dyDescent="0.25">
      <c r="A1793" t="s">
        <v>2384</v>
      </c>
      <c r="B1793" s="44">
        <v>2281.0909999999999</v>
      </c>
      <c r="C1793">
        <v>-10</v>
      </c>
    </row>
    <row r="1794" spans="1:3" x14ac:dyDescent="0.25">
      <c r="A1794" t="s">
        <v>2385</v>
      </c>
      <c r="B1794" s="44">
        <v>2087</v>
      </c>
      <c r="C1794">
        <v>-8</v>
      </c>
    </row>
    <row r="1795" spans="1:3" x14ac:dyDescent="0.25">
      <c r="A1795" t="s">
        <v>2386</v>
      </c>
      <c r="B1795" s="44">
        <v>2087</v>
      </c>
      <c r="C1795">
        <v>-8</v>
      </c>
    </row>
    <row r="1796" spans="1:3" x14ac:dyDescent="0.25">
      <c r="A1796" t="s">
        <v>2387</v>
      </c>
      <c r="B1796" s="44">
        <v>2185.0889999999999</v>
      </c>
      <c r="C1796">
        <v>-9</v>
      </c>
    </row>
    <row r="1797" spans="1:3" x14ac:dyDescent="0.25">
      <c r="A1797" t="s">
        <v>2388</v>
      </c>
      <c r="B1797" s="44">
        <v>2087</v>
      </c>
      <c r="C1797">
        <v>-8</v>
      </c>
    </row>
    <row r="1798" spans="1:3" x14ac:dyDescent="0.25">
      <c r="A1798" t="s">
        <v>2389</v>
      </c>
      <c r="B1798" s="44">
        <v>1988.9109999999998</v>
      </c>
      <c r="C1798">
        <v>-8</v>
      </c>
    </row>
    <row r="1799" spans="1:3" x14ac:dyDescent="0.25">
      <c r="A1799" t="s">
        <v>2390</v>
      </c>
      <c r="B1799" s="44">
        <v>1988.9109999999998</v>
      </c>
      <c r="C1799">
        <v>-8</v>
      </c>
    </row>
    <row r="1800" spans="1:3" x14ac:dyDescent="0.25">
      <c r="A1800" t="s">
        <v>2391</v>
      </c>
      <c r="B1800" s="44">
        <v>2087</v>
      </c>
      <c r="C1800">
        <v>-8</v>
      </c>
    </row>
    <row r="1801" spans="1:3" x14ac:dyDescent="0.25">
      <c r="A1801" t="s">
        <v>2392</v>
      </c>
      <c r="B1801" s="44">
        <v>2087</v>
      </c>
      <c r="C1801">
        <v>-8</v>
      </c>
    </row>
    <row r="1802" spans="1:3" x14ac:dyDescent="0.25">
      <c r="A1802" t="s">
        <v>2393</v>
      </c>
      <c r="B1802" s="44">
        <v>2087</v>
      </c>
      <c r="C1802">
        <v>-8</v>
      </c>
    </row>
    <row r="1803" spans="1:3" x14ac:dyDescent="0.25">
      <c r="A1803" t="s">
        <v>2394</v>
      </c>
      <c r="B1803" s="44">
        <v>2087</v>
      </c>
      <c r="C1803">
        <v>-8</v>
      </c>
    </row>
    <row r="1804" spans="1:3" x14ac:dyDescent="0.25">
      <c r="A1804" t="s">
        <v>2395</v>
      </c>
      <c r="B1804" s="44">
        <v>1988.9109999999998</v>
      </c>
      <c r="C1804">
        <v>-8</v>
      </c>
    </row>
    <row r="1805" spans="1:3" x14ac:dyDescent="0.25">
      <c r="A1805" t="s">
        <v>2396</v>
      </c>
      <c r="B1805" s="44">
        <v>1892.9090000000001</v>
      </c>
      <c r="C1805">
        <v>-7</v>
      </c>
    </row>
    <row r="1806" spans="1:3" x14ac:dyDescent="0.25">
      <c r="A1806" t="s">
        <v>2397</v>
      </c>
      <c r="B1806" s="44">
        <v>1988.9109999999998</v>
      </c>
      <c r="C1806">
        <v>-8</v>
      </c>
    </row>
    <row r="1807" spans="1:3" x14ac:dyDescent="0.25">
      <c r="A1807" t="s">
        <v>2398</v>
      </c>
      <c r="B1807" s="44">
        <v>1892.9090000000001</v>
      </c>
      <c r="C1807">
        <v>-7</v>
      </c>
    </row>
    <row r="1808" spans="1:3" x14ac:dyDescent="0.25">
      <c r="A1808" t="s">
        <v>2399</v>
      </c>
      <c r="B1808" s="44">
        <v>1988.9109999999998</v>
      </c>
      <c r="C1808">
        <v>-8</v>
      </c>
    </row>
    <row r="1809" spans="1:3" x14ac:dyDescent="0.25">
      <c r="A1809" t="s">
        <v>2400</v>
      </c>
      <c r="B1809" s="44">
        <v>2087</v>
      </c>
      <c r="C1809">
        <v>-9</v>
      </c>
    </row>
    <row r="1810" spans="1:3" x14ac:dyDescent="0.25">
      <c r="A1810" t="s">
        <v>2401</v>
      </c>
      <c r="B1810" s="44">
        <v>1988.9109999999998</v>
      </c>
      <c r="C1810">
        <v>-8</v>
      </c>
    </row>
    <row r="1811" spans="1:3" x14ac:dyDescent="0.25">
      <c r="A1811" t="s">
        <v>2402</v>
      </c>
      <c r="B1811" s="44">
        <v>1892.9090000000001</v>
      </c>
      <c r="C1811">
        <v>-8</v>
      </c>
    </row>
    <row r="1812" spans="1:3" x14ac:dyDescent="0.25">
      <c r="A1812" t="s">
        <v>2402</v>
      </c>
      <c r="B1812" s="44">
        <v>1988.9109999999998</v>
      </c>
      <c r="C1812">
        <v>-8</v>
      </c>
    </row>
    <row r="1813" spans="1:3" x14ac:dyDescent="0.25">
      <c r="A1813" t="s">
        <v>2403</v>
      </c>
      <c r="B1813" s="44">
        <v>2087</v>
      </c>
      <c r="C1813">
        <v>-9</v>
      </c>
    </row>
    <row r="1814" spans="1:3" x14ac:dyDescent="0.25">
      <c r="A1814" t="s">
        <v>2404</v>
      </c>
      <c r="B1814" s="44">
        <v>1988.9109999999998</v>
      </c>
      <c r="C1814">
        <v>-8</v>
      </c>
    </row>
    <row r="1815" spans="1:3" x14ac:dyDescent="0.25">
      <c r="A1815" t="s">
        <v>2405</v>
      </c>
      <c r="B1815" s="44">
        <v>1988.9109999999998</v>
      </c>
      <c r="C1815">
        <v>-8</v>
      </c>
    </row>
    <row r="1816" spans="1:3" x14ac:dyDescent="0.25">
      <c r="A1816" t="s">
        <v>2406</v>
      </c>
      <c r="B1816" s="44">
        <v>1988.9109999999998</v>
      </c>
      <c r="C1816">
        <v>-8</v>
      </c>
    </row>
    <row r="1817" spans="1:3" x14ac:dyDescent="0.25">
      <c r="A1817" t="s">
        <v>2407</v>
      </c>
      <c r="B1817" s="44">
        <v>1988.9109999999998</v>
      </c>
      <c r="C1817">
        <v>-8</v>
      </c>
    </row>
    <row r="1818" spans="1:3" x14ac:dyDescent="0.25">
      <c r="A1818" t="s">
        <v>2408</v>
      </c>
      <c r="B1818" s="44">
        <v>2087</v>
      </c>
      <c r="C1818">
        <v>-8</v>
      </c>
    </row>
    <row r="1819" spans="1:3" x14ac:dyDescent="0.25">
      <c r="A1819" t="s">
        <v>2409</v>
      </c>
      <c r="B1819" s="44">
        <v>1988.9109999999998</v>
      </c>
      <c r="C1819">
        <v>-8</v>
      </c>
    </row>
    <row r="1820" spans="1:3" x14ac:dyDescent="0.25">
      <c r="A1820" t="s">
        <v>2410</v>
      </c>
      <c r="B1820" s="44">
        <v>2185.0889999999999</v>
      </c>
      <c r="C1820">
        <v>-9</v>
      </c>
    </row>
    <row r="1821" spans="1:3" x14ac:dyDescent="0.25">
      <c r="A1821" t="s">
        <v>2411</v>
      </c>
      <c r="B1821" s="44">
        <v>2185.0889999999999</v>
      </c>
      <c r="C1821">
        <v>-8</v>
      </c>
    </row>
    <row r="1822" spans="1:3" x14ac:dyDescent="0.25">
      <c r="A1822" t="s">
        <v>2412</v>
      </c>
      <c r="B1822" s="44">
        <v>2087</v>
      </c>
      <c r="C1822">
        <v>-8</v>
      </c>
    </row>
    <row r="1823" spans="1:3" x14ac:dyDescent="0.25">
      <c r="A1823" t="s">
        <v>2413</v>
      </c>
      <c r="B1823" s="44">
        <v>2087</v>
      </c>
      <c r="C1823">
        <v>-8</v>
      </c>
    </row>
    <row r="1824" spans="1:3" x14ac:dyDescent="0.25">
      <c r="A1824" t="s">
        <v>2414</v>
      </c>
      <c r="B1824" s="44">
        <v>2087</v>
      </c>
      <c r="C1824">
        <v>-8</v>
      </c>
    </row>
    <row r="1825" spans="1:3" x14ac:dyDescent="0.25">
      <c r="A1825" t="s">
        <v>2415</v>
      </c>
      <c r="B1825" s="44">
        <v>2087</v>
      </c>
      <c r="C1825">
        <v>-8</v>
      </c>
    </row>
    <row r="1826" spans="1:3" x14ac:dyDescent="0.25">
      <c r="A1826" t="s">
        <v>2416</v>
      </c>
      <c r="B1826" s="44">
        <v>2185.0889999999999</v>
      </c>
      <c r="C1826">
        <v>-9</v>
      </c>
    </row>
    <row r="1827" spans="1:3" x14ac:dyDescent="0.25">
      <c r="A1827" t="s">
        <v>2417</v>
      </c>
      <c r="B1827" s="44">
        <v>2185.0889999999999</v>
      </c>
      <c r="C1827">
        <v>-9</v>
      </c>
    </row>
    <row r="1828" spans="1:3" x14ac:dyDescent="0.25">
      <c r="A1828" t="s">
        <v>2418</v>
      </c>
      <c r="B1828" s="44">
        <v>2087</v>
      </c>
      <c r="C1828">
        <v>-8</v>
      </c>
    </row>
    <row r="1829" spans="1:3" x14ac:dyDescent="0.25">
      <c r="A1829" t="s">
        <v>2419</v>
      </c>
      <c r="B1829" s="44">
        <v>2185.0889999999999</v>
      </c>
      <c r="C1829">
        <v>-9</v>
      </c>
    </row>
    <row r="1830" spans="1:3" x14ac:dyDescent="0.25">
      <c r="A1830" t="s">
        <v>2420</v>
      </c>
      <c r="B1830" s="44">
        <v>2548.2270000000003</v>
      </c>
      <c r="C1830">
        <v>-11</v>
      </c>
    </row>
    <row r="1831" spans="1:3" x14ac:dyDescent="0.25">
      <c r="A1831" t="s">
        <v>2421</v>
      </c>
      <c r="B1831" s="44">
        <v>2087</v>
      </c>
      <c r="C1831">
        <v>-9</v>
      </c>
    </row>
    <row r="1832" spans="1:3" x14ac:dyDescent="0.25">
      <c r="A1832" t="s">
        <v>2422</v>
      </c>
      <c r="B1832" s="44">
        <v>1988.9109999999998</v>
      </c>
      <c r="C1832">
        <v>-8</v>
      </c>
    </row>
    <row r="1833" spans="1:3" x14ac:dyDescent="0.25">
      <c r="A1833" t="s">
        <v>2423</v>
      </c>
      <c r="B1833" s="44">
        <v>2087</v>
      </c>
      <c r="C1833">
        <v>-8</v>
      </c>
    </row>
    <row r="1834" spans="1:3" x14ac:dyDescent="0.25">
      <c r="A1834" t="s">
        <v>2424</v>
      </c>
      <c r="B1834" s="44">
        <v>1988.9109999999998</v>
      </c>
      <c r="C1834">
        <v>-8</v>
      </c>
    </row>
    <row r="1835" spans="1:3" x14ac:dyDescent="0.25">
      <c r="A1835" t="s">
        <v>2425</v>
      </c>
      <c r="B1835" s="44">
        <v>2185.0889999999999</v>
      </c>
      <c r="C1835">
        <v>-9</v>
      </c>
    </row>
    <row r="1836" spans="1:3" x14ac:dyDescent="0.25">
      <c r="A1836" t="s">
        <v>2426</v>
      </c>
      <c r="B1836" s="44">
        <v>2548.2270000000003</v>
      </c>
      <c r="C1836">
        <v>-11</v>
      </c>
    </row>
    <row r="1837" spans="1:3" x14ac:dyDescent="0.25">
      <c r="A1837" t="s">
        <v>2427</v>
      </c>
      <c r="B1837" s="44">
        <v>2087</v>
      </c>
      <c r="C1837">
        <v>-8</v>
      </c>
    </row>
    <row r="1838" spans="1:3" x14ac:dyDescent="0.25">
      <c r="A1838" t="s">
        <v>2428</v>
      </c>
      <c r="B1838" s="44">
        <v>2087</v>
      </c>
      <c r="C1838">
        <v>-8</v>
      </c>
    </row>
    <row r="1839" spans="1:3" x14ac:dyDescent="0.25">
      <c r="A1839" t="s">
        <v>2429</v>
      </c>
      <c r="B1839" s="44">
        <v>2281.0909999999999</v>
      </c>
      <c r="C1839">
        <v>-10</v>
      </c>
    </row>
    <row r="1840" spans="1:3" x14ac:dyDescent="0.25">
      <c r="A1840" t="s">
        <v>2430</v>
      </c>
      <c r="B1840" s="44">
        <v>2185.0889999999999</v>
      </c>
      <c r="C1840">
        <v>-8</v>
      </c>
    </row>
    <row r="1841" spans="1:3" x14ac:dyDescent="0.25">
      <c r="A1841" t="s">
        <v>2431</v>
      </c>
      <c r="B1841" s="44">
        <v>2790.319</v>
      </c>
      <c r="C1841">
        <v>-11</v>
      </c>
    </row>
    <row r="1842" spans="1:3" x14ac:dyDescent="0.25">
      <c r="A1842" t="s">
        <v>2432</v>
      </c>
      <c r="B1842" s="44">
        <v>2087</v>
      </c>
      <c r="C1842">
        <v>-8</v>
      </c>
    </row>
    <row r="1843" spans="1:3" x14ac:dyDescent="0.25">
      <c r="A1843" t="s">
        <v>2433</v>
      </c>
      <c r="B1843" s="44">
        <v>2087</v>
      </c>
      <c r="C1843">
        <v>-8</v>
      </c>
    </row>
    <row r="1844" spans="1:3" x14ac:dyDescent="0.25">
      <c r="A1844" t="s">
        <v>2434</v>
      </c>
      <c r="B1844" s="44">
        <v>2087</v>
      </c>
      <c r="C1844">
        <v>-8</v>
      </c>
    </row>
    <row r="1845" spans="1:3" x14ac:dyDescent="0.25">
      <c r="A1845" t="s">
        <v>2435</v>
      </c>
      <c r="B1845" s="44">
        <v>2087</v>
      </c>
      <c r="C1845">
        <v>-8</v>
      </c>
    </row>
    <row r="1846" spans="1:3" x14ac:dyDescent="0.25">
      <c r="A1846" t="s">
        <v>2436</v>
      </c>
      <c r="B1846" s="44">
        <v>2087</v>
      </c>
      <c r="C1846">
        <v>-8</v>
      </c>
    </row>
    <row r="1847" spans="1:3" x14ac:dyDescent="0.25">
      <c r="A1847" t="s">
        <v>2437</v>
      </c>
      <c r="B1847" s="44">
        <v>2087</v>
      </c>
      <c r="C1847">
        <v>-8</v>
      </c>
    </row>
    <row r="1848" spans="1:3" x14ac:dyDescent="0.25">
      <c r="A1848" t="s">
        <v>2438</v>
      </c>
      <c r="B1848" s="44">
        <v>2548.2270000000003</v>
      </c>
      <c r="C1848">
        <v>-11</v>
      </c>
    </row>
    <row r="1849" spans="1:3" x14ac:dyDescent="0.25">
      <c r="A1849" t="s">
        <v>2439</v>
      </c>
      <c r="B1849" s="44">
        <v>2087</v>
      </c>
      <c r="C1849">
        <v>-8</v>
      </c>
    </row>
    <row r="1850" spans="1:3" x14ac:dyDescent="0.25">
      <c r="A1850" t="s">
        <v>2440</v>
      </c>
      <c r="B1850" s="44">
        <v>1988.9109999999998</v>
      </c>
      <c r="C1850">
        <v>-8</v>
      </c>
    </row>
    <row r="1851" spans="1:3" x14ac:dyDescent="0.25">
      <c r="A1851" t="s">
        <v>2441</v>
      </c>
      <c r="B1851" s="44">
        <v>2185.0889999999999</v>
      </c>
      <c r="C1851">
        <v>-9</v>
      </c>
    </row>
    <row r="1852" spans="1:3" x14ac:dyDescent="0.25">
      <c r="A1852" t="s">
        <v>2442</v>
      </c>
      <c r="B1852" s="44">
        <v>2185.0889999999999</v>
      </c>
      <c r="C1852">
        <v>-9</v>
      </c>
    </row>
    <row r="1853" spans="1:3" x14ac:dyDescent="0.25">
      <c r="A1853" t="s">
        <v>2443</v>
      </c>
      <c r="B1853" s="44">
        <v>2185.0889999999999</v>
      </c>
      <c r="C1853">
        <v>-8</v>
      </c>
    </row>
    <row r="1854" spans="1:3" x14ac:dyDescent="0.25">
      <c r="A1854" t="s">
        <v>2444</v>
      </c>
      <c r="B1854" s="44">
        <v>2087</v>
      </c>
      <c r="C1854">
        <v>-8</v>
      </c>
    </row>
    <row r="1855" spans="1:3" x14ac:dyDescent="0.25">
      <c r="A1855" t="s">
        <v>2445</v>
      </c>
      <c r="B1855" s="44">
        <v>2087</v>
      </c>
      <c r="C1855">
        <v>-8</v>
      </c>
    </row>
    <row r="1856" spans="1:3" x14ac:dyDescent="0.25">
      <c r="A1856" t="s">
        <v>2446</v>
      </c>
      <c r="B1856" s="44">
        <v>2087</v>
      </c>
      <c r="C1856">
        <v>-8</v>
      </c>
    </row>
    <row r="1857" spans="1:3" x14ac:dyDescent="0.25">
      <c r="A1857" t="s">
        <v>2447</v>
      </c>
      <c r="B1857" s="44">
        <v>2087</v>
      </c>
      <c r="C1857">
        <v>-8</v>
      </c>
    </row>
    <row r="1858" spans="1:3" x14ac:dyDescent="0.25">
      <c r="A1858" t="s">
        <v>2448</v>
      </c>
      <c r="B1858" s="44">
        <v>2087</v>
      </c>
      <c r="C1858">
        <v>-8</v>
      </c>
    </row>
    <row r="1859" spans="1:3" x14ac:dyDescent="0.25">
      <c r="A1859" t="s">
        <v>2449</v>
      </c>
      <c r="B1859" s="44">
        <v>2185.0889999999999</v>
      </c>
      <c r="C1859">
        <v>-9</v>
      </c>
    </row>
    <row r="1860" spans="1:3" x14ac:dyDescent="0.25">
      <c r="A1860" t="s">
        <v>2450</v>
      </c>
      <c r="B1860" s="44">
        <v>1988.9109999999998</v>
      </c>
      <c r="C1860">
        <v>-8</v>
      </c>
    </row>
    <row r="1861" spans="1:3" x14ac:dyDescent="0.25">
      <c r="A1861" t="s">
        <v>2451</v>
      </c>
      <c r="B1861" s="44">
        <v>1988.9109999999998</v>
      </c>
      <c r="C1861">
        <v>-8</v>
      </c>
    </row>
    <row r="1862" spans="1:3" x14ac:dyDescent="0.25">
      <c r="A1862" t="s">
        <v>2452</v>
      </c>
      <c r="B1862" s="44">
        <v>2087</v>
      </c>
      <c r="C1862">
        <v>-8</v>
      </c>
    </row>
    <row r="1863" spans="1:3" x14ac:dyDescent="0.25">
      <c r="A1863" t="s">
        <v>2453</v>
      </c>
      <c r="B1863" s="44">
        <v>2087</v>
      </c>
      <c r="C1863">
        <v>-8</v>
      </c>
    </row>
    <row r="1864" spans="1:3" x14ac:dyDescent="0.25">
      <c r="A1864" t="s">
        <v>2454</v>
      </c>
      <c r="B1864" s="44">
        <v>1988.9109999999998</v>
      </c>
      <c r="C1864">
        <v>-8</v>
      </c>
    </row>
    <row r="1865" spans="1:3" x14ac:dyDescent="0.25">
      <c r="A1865" t="s">
        <v>2455</v>
      </c>
      <c r="B1865" s="44">
        <v>2087</v>
      </c>
      <c r="C1865">
        <v>-8</v>
      </c>
    </row>
    <row r="1866" spans="1:3" x14ac:dyDescent="0.25">
      <c r="A1866" t="s">
        <v>2456</v>
      </c>
      <c r="B1866" s="44">
        <v>2281.0909999999999</v>
      </c>
      <c r="C1866">
        <v>-10</v>
      </c>
    </row>
    <row r="1867" spans="1:3" x14ac:dyDescent="0.25">
      <c r="A1867" t="s">
        <v>2457</v>
      </c>
      <c r="B1867" s="44">
        <v>2281.0909999999999</v>
      </c>
      <c r="C1867">
        <v>-9</v>
      </c>
    </row>
    <row r="1868" spans="1:3" x14ac:dyDescent="0.25">
      <c r="A1868" t="s">
        <v>2458</v>
      </c>
      <c r="B1868" s="44">
        <v>2185.0889999999999</v>
      </c>
      <c r="C1868">
        <v>-8</v>
      </c>
    </row>
    <row r="1869" spans="1:3" x14ac:dyDescent="0.25">
      <c r="A1869" t="s">
        <v>2459</v>
      </c>
      <c r="B1869" s="44">
        <v>2087</v>
      </c>
      <c r="C1869">
        <v>-8</v>
      </c>
    </row>
    <row r="1870" spans="1:3" x14ac:dyDescent="0.25">
      <c r="A1870" t="s">
        <v>2460</v>
      </c>
      <c r="B1870" s="44">
        <v>2087</v>
      </c>
      <c r="C1870">
        <v>-8</v>
      </c>
    </row>
    <row r="1871" spans="1:3" x14ac:dyDescent="0.25">
      <c r="A1871" t="s">
        <v>2461</v>
      </c>
      <c r="B1871" s="44">
        <v>2281.0909999999999</v>
      </c>
      <c r="C1871">
        <v>-9</v>
      </c>
    </row>
    <row r="1872" spans="1:3" x14ac:dyDescent="0.25">
      <c r="A1872" t="s">
        <v>2462</v>
      </c>
      <c r="B1872" s="44">
        <v>2087</v>
      </c>
      <c r="C1872">
        <v>-8</v>
      </c>
    </row>
    <row r="1873" spans="1:3" x14ac:dyDescent="0.25">
      <c r="A1873" t="s">
        <v>2463</v>
      </c>
      <c r="B1873" s="44">
        <v>1988.9109999999998</v>
      </c>
      <c r="C1873">
        <v>-8</v>
      </c>
    </row>
    <row r="1874" spans="1:3" x14ac:dyDescent="0.25">
      <c r="A1874" t="s">
        <v>2464</v>
      </c>
      <c r="B1874" s="44">
        <v>2087</v>
      </c>
      <c r="C1874">
        <v>-8</v>
      </c>
    </row>
    <row r="1875" spans="1:3" x14ac:dyDescent="0.25">
      <c r="A1875" t="s">
        <v>2465</v>
      </c>
      <c r="B1875" s="44">
        <v>2087</v>
      </c>
      <c r="C1875">
        <v>-8</v>
      </c>
    </row>
    <row r="1876" spans="1:3" x14ac:dyDescent="0.25">
      <c r="A1876" t="s">
        <v>2466</v>
      </c>
      <c r="B1876" s="44">
        <v>2087</v>
      </c>
      <c r="C1876">
        <v>-8</v>
      </c>
    </row>
    <row r="1877" spans="1:3" x14ac:dyDescent="0.25">
      <c r="A1877" t="s">
        <v>2467</v>
      </c>
      <c r="B1877" s="44">
        <v>1988.9109999999998</v>
      </c>
      <c r="C1877">
        <v>-8</v>
      </c>
    </row>
    <row r="1878" spans="1:3" x14ac:dyDescent="0.25">
      <c r="A1878" t="s">
        <v>2468</v>
      </c>
      <c r="B1878" s="44">
        <v>2185.0889999999999</v>
      </c>
      <c r="C1878">
        <v>-9</v>
      </c>
    </row>
    <row r="1879" spans="1:3" x14ac:dyDescent="0.25">
      <c r="A1879" t="s">
        <v>2469</v>
      </c>
      <c r="B1879" s="44">
        <v>2087</v>
      </c>
      <c r="C1879">
        <v>-8</v>
      </c>
    </row>
    <row r="1880" spans="1:3" x14ac:dyDescent="0.25">
      <c r="A1880" t="s">
        <v>2470</v>
      </c>
      <c r="B1880" s="44">
        <v>2087</v>
      </c>
      <c r="C1880">
        <v>-8</v>
      </c>
    </row>
    <row r="1881" spans="1:3" x14ac:dyDescent="0.25">
      <c r="A1881" t="s">
        <v>2471</v>
      </c>
      <c r="B1881" s="44">
        <v>2087</v>
      </c>
      <c r="C1881">
        <v>-9</v>
      </c>
    </row>
    <row r="1882" spans="1:3" x14ac:dyDescent="0.25">
      <c r="A1882" t="s">
        <v>2472</v>
      </c>
      <c r="B1882" s="44">
        <v>2185.0889999999999</v>
      </c>
      <c r="C1882">
        <v>-8</v>
      </c>
    </row>
    <row r="1883" spans="1:3" x14ac:dyDescent="0.25">
      <c r="A1883" t="s">
        <v>2473</v>
      </c>
      <c r="B1883" s="44">
        <v>2281.0909999999999</v>
      </c>
      <c r="C1883">
        <v>-10</v>
      </c>
    </row>
    <row r="1884" spans="1:3" x14ac:dyDescent="0.25">
      <c r="A1884" t="s">
        <v>2474</v>
      </c>
      <c r="B1884" s="44">
        <v>2790.319</v>
      </c>
      <c r="C1884">
        <v>-11</v>
      </c>
    </row>
    <row r="1885" spans="1:3" x14ac:dyDescent="0.25">
      <c r="A1885" t="s">
        <v>2475</v>
      </c>
      <c r="B1885" s="44">
        <v>2087</v>
      </c>
      <c r="C1885">
        <v>-8</v>
      </c>
    </row>
    <row r="1886" spans="1:3" x14ac:dyDescent="0.25">
      <c r="A1886" t="s">
        <v>2476</v>
      </c>
      <c r="B1886" s="44">
        <v>2087</v>
      </c>
      <c r="C1886">
        <v>-8</v>
      </c>
    </row>
    <row r="1887" spans="1:3" x14ac:dyDescent="0.25">
      <c r="A1887" t="s">
        <v>2477</v>
      </c>
      <c r="B1887" s="44">
        <v>2087</v>
      </c>
      <c r="C1887">
        <v>-8</v>
      </c>
    </row>
    <row r="1888" spans="1:3" x14ac:dyDescent="0.25">
      <c r="A1888" t="s">
        <v>2478</v>
      </c>
      <c r="B1888" s="44">
        <v>1988.9109999999998</v>
      </c>
      <c r="C1888">
        <v>-8</v>
      </c>
    </row>
    <row r="1889" spans="1:3" x14ac:dyDescent="0.25">
      <c r="A1889" t="s">
        <v>2479</v>
      </c>
      <c r="B1889" s="44">
        <v>2548.2270000000003</v>
      </c>
      <c r="C1889">
        <v>-11</v>
      </c>
    </row>
    <row r="1890" spans="1:3" x14ac:dyDescent="0.25">
      <c r="A1890" t="s">
        <v>2480</v>
      </c>
      <c r="B1890" s="44">
        <v>2185.0889999999999</v>
      </c>
      <c r="C1890">
        <v>-8</v>
      </c>
    </row>
    <row r="1891" spans="1:3" x14ac:dyDescent="0.25">
      <c r="A1891" t="s">
        <v>2481</v>
      </c>
      <c r="B1891" s="44">
        <v>2087</v>
      </c>
      <c r="C1891">
        <v>-8</v>
      </c>
    </row>
    <row r="1892" spans="1:3" x14ac:dyDescent="0.25">
      <c r="A1892" t="s">
        <v>2482</v>
      </c>
      <c r="B1892" s="44">
        <v>2087</v>
      </c>
      <c r="C1892">
        <v>-8</v>
      </c>
    </row>
    <row r="1893" spans="1:3" x14ac:dyDescent="0.25">
      <c r="A1893" t="s">
        <v>2483</v>
      </c>
      <c r="B1893" s="44">
        <v>2185.0889999999999</v>
      </c>
      <c r="C1893">
        <v>-9</v>
      </c>
    </row>
    <row r="1894" spans="1:3" x14ac:dyDescent="0.25">
      <c r="A1894" t="s">
        <v>2484</v>
      </c>
      <c r="B1894" s="44">
        <v>2185.0889999999999</v>
      </c>
      <c r="C1894">
        <v>-9</v>
      </c>
    </row>
    <row r="1895" spans="1:3" x14ac:dyDescent="0.25">
      <c r="A1895" t="s">
        <v>2485</v>
      </c>
      <c r="B1895" s="44">
        <v>2087</v>
      </c>
      <c r="C1895">
        <v>-8</v>
      </c>
    </row>
    <row r="1896" spans="1:3" x14ac:dyDescent="0.25">
      <c r="A1896" t="s">
        <v>2486</v>
      </c>
      <c r="B1896" s="44">
        <v>2087</v>
      </c>
      <c r="C1896">
        <v>-8</v>
      </c>
    </row>
    <row r="1897" spans="1:3" x14ac:dyDescent="0.25">
      <c r="A1897" t="s">
        <v>2487</v>
      </c>
      <c r="B1897" s="44">
        <v>2087</v>
      </c>
      <c r="C1897">
        <v>-8</v>
      </c>
    </row>
    <row r="1898" spans="1:3" x14ac:dyDescent="0.25">
      <c r="A1898" t="s">
        <v>2488</v>
      </c>
      <c r="B1898" s="44">
        <v>2379.1800000000003</v>
      </c>
      <c r="C1898">
        <v>-10</v>
      </c>
    </row>
    <row r="1899" spans="1:3" x14ac:dyDescent="0.25">
      <c r="A1899" t="s">
        <v>2489</v>
      </c>
      <c r="B1899" s="44">
        <v>2087</v>
      </c>
      <c r="C1899">
        <v>-8</v>
      </c>
    </row>
    <row r="1900" spans="1:3" x14ac:dyDescent="0.25">
      <c r="A1900" t="s">
        <v>2490</v>
      </c>
      <c r="B1900" s="44">
        <v>2185.0889999999999</v>
      </c>
      <c r="C1900">
        <v>-8</v>
      </c>
    </row>
    <row r="1901" spans="1:3" x14ac:dyDescent="0.25">
      <c r="A1901" t="s">
        <v>2490</v>
      </c>
      <c r="B1901" s="44">
        <v>2087</v>
      </c>
      <c r="C1901">
        <v>-8</v>
      </c>
    </row>
    <row r="1902" spans="1:3" x14ac:dyDescent="0.25">
      <c r="A1902" t="s">
        <v>2491</v>
      </c>
      <c r="B1902" s="44">
        <v>2087</v>
      </c>
      <c r="C1902">
        <v>-8</v>
      </c>
    </row>
    <row r="1903" spans="1:3" x14ac:dyDescent="0.25">
      <c r="A1903" t="s">
        <v>2492</v>
      </c>
      <c r="B1903" s="44">
        <v>1892.9090000000001</v>
      </c>
      <c r="C1903">
        <v>-8</v>
      </c>
    </row>
    <row r="1904" spans="1:3" x14ac:dyDescent="0.25">
      <c r="A1904" t="s">
        <v>2493</v>
      </c>
      <c r="B1904" s="44">
        <v>2281.0909999999999</v>
      </c>
      <c r="C1904">
        <v>-10</v>
      </c>
    </row>
    <row r="1905" spans="1:3" x14ac:dyDescent="0.25">
      <c r="A1905" t="s">
        <v>2493</v>
      </c>
      <c r="B1905" s="44">
        <v>2185.0889999999999</v>
      </c>
      <c r="C1905">
        <v>-9</v>
      </c>
    </row>
    <row r="1906" spans="1:3" x14ac:dyDescent="0.25">
      <c r="A1906" t="s">
        <v>2494</v>
      </c>
      <c r="B1906" s="44">
        <v>2379.1800000000003</v>
      </c>
      <c r="C1906">
        <v>-10</v>
      </c>
    </row>
    <row r="1907" spans="1:3" x14ac:dyDescent="0.25">
      <c r="A1907" t="s">
        <v>2495</v>
      </c>
      <c r="B1907" s="44">
        <v>2379.1800000000003</v>
      </c>
      <c r="C1907">
        <v>-10</v>
      </c>
    </row>
    <row r="1908" spans="1:3" x14ac:dyDescent="0.25">
      <c r="A1908" t="s">
        <v>2496</v>
      </c>
      <c r="B1908" s="44">
        <v>1988.9109999999998</v>
      </c>
      <c r="C1908">
        <v>-8</v>
      </c>
    </row>
    <row r="1909" spans="1:3" x14ac:dyDescent="0.25">
      <c r="A1909" t="s">
        <v>2497</v>
      </c>
      <c r="B1909" s="44">
        <v>2087</v>
      </c>
      <c r="C1909">
        <v>-8</v>
      </c>
    </row>
    <row r="1910" spans="1:3" x14ac:dyDescent="0.25">
      <c r="A1910" t="s">
        <v>2498</v>
      </c>
      <c r="B1910" s="44">
        <v>2379.1800000000003</v>
      </c>
      <c r="C1910">
        <v>-10</v>
      </c>
    </row>
    <row r="1911" spans="1:3" x14ac:dyDescent="0.25">
      <c r="A1911" t="s">
        <v>2499</v>
      </c>
      <c r="B1911" s="44">
        <v>2087</v>
      </c>
      <c r="C1911">
        <v>-8</v>
      </c>
    </row>
    <row r="1912" spans="1:3" x14ac:dyDescent="0.25">
      <c r="A1912" t="s">
        <v>2500</v>
      </c>
      <c r="B1912" s="44">
        <v>2548.2270000000003</v>
      </c>
      <c r="C1912">
        <v>-11</v>
      </c>
    </row>
    <row r="1913" spans="1:3" x14ac:dyDescent="0.25">
      <c r="A1913" t="s">
        <v>2501</v>
      </c>
      <c r="B1913" s="44">
        <v>2087</v>
      </c>
      <c r="C1913">
        <v>-8</v>
      </c>
    </row>
    <row r="1914" spans="1:3" x14ac:dyDescent="0.25">
      <c r="A1914" t="s">
        <v>2502</v>
      </c>
      <c r="B1914" s="44">
        <v>2087</v>
      </c>
      <c r="C1914">
        <v>-9</v>
      </c>
    </row>
    <row r="1915" spans="1:3" x14ac:dyDescent="0.25">
      <c r="A1915" t="s">
        <v>2503</v>
      </c>
      <c r="B1915" s="44">
        <v>2548.2270000000003</v>
      </c>
      <c r="C1915">
        <v>-11</v>
      </c>
    </row>
    <row r="1916" spans="1:3" x14ac:dyDescent="0.25">
      <c r="A1916" t="s">
        <v>2504</v>
      </c>
      <c r="B1916" s="44">
        <v>2281.0909999999999</v>
      </c>
      <c r="C1916">
        <v>-10</v>
      </c>
    </row>
    <row r="1917" spans="1:3" x14ac:dyDescent="0.25">
      <c r="A1917" t="s">
        <v>2505</v>
      </c>
      <c r="B1917" s="44">
        <v>2087</v>
      </c>
      <c r="C1917">
        <v>-9</v>
      </c>
    </row>
    <row r="1918" spans="1:3" x14ac:dyDescent="0.25">
      <c r="A1918" t="s">
        <v>2506</v>
      </c>
      <c r="B1918" s="44">
        <v>2548.2270000000003</v>
      </c>
      <c r="C1918">
        <v>-11</v>
      </c>
    </row>
    <row r="1919" spans="1:3" x14ac:dyDescent="0.25">
      <c r="A1919" t="s">
        <v>2507</v>
      </c>
      <c r="B1919" s="44">
        <v>2087</v>
      </c>
      <c r="C1919">
        <v>-8</v>
      </c>
    </row>
    <row r="1920" spans="1:3" x14ac:dyDescent="0.25">
      <c r="A1920" t="s">
        <v>2508</v>
      </c>
      <c r="B1920" s="44">
        <v>2281.0909999999999</v>
      </c>
      <c r="C1920">
        <v>-10</v>
      </c>
    </row>
    <row r="1921" spans="1:3" x14ac:dyDescent="0.25">
      <c r="A1921" t="s">
        <v>2509</v>
      </c>
      <c r="B1921" s="44">
        <v>2185.0889999999999</v>
      </c>
      <c r="C1921">
        <v>-9</v>
      </c>
    </row>
    <row r="1922" spans="1:3" x14ac:dyDescent="0.25">
      <c r="A1922" t="s">
        <v>2510</v>
      </c>
      <c r="B1922" s="44">
        <v>2087</v>
      </c>
      <c r="C1922">
        <v>-8</v>
      </c>
    </row>
    <row r="1923" spans="1:3" x14ac:dyDescent="0.25">
      <c r="A1923" t="s">
        <v>2511</v>
      </c>
      <c r="B1923" s="44">
        <v>2087</v>
      </c>
      <c r="C1923">
        <v>-8</v>
      </c>
    </row>
    <row r="1924" spans="1:3" x14ac:dyDescent="0.25">
      <c r="A1924" t="s">
        <v>2512</v>
      </c>
      <c r="B1924" s="44">
        <v>2087</v>
      </c>
      <c r="C1924">
        <v>-8</v>
      </c>
    </row>
    <row r="1925" spans="1:3" x14ac:dyDescent="0.25">
      <c r="A1925" t="s">
        <v>2513</v>
      </c>
      <c r="B1925" s="44">
        <v>2087</v>
      </c>
      <c r="C1925">
        <v>-8</v>
      </c>
    </row>
    <row r="1926" spans="1:3" x14ac:dyDescent="0.25">
      <c r="A1926" t="s">
        <v>2514</v>
      </c>
      <c r="B1926" s="44">
        <v>2185.0889999999999</v>
      </c>
      <c r="C1926">
        <v>-9</v>
      </c>
    </row>
    <row r="1927" spans="1:3" x14ac:dyDescent="0.25">
      <c r="A1927" t="s">
        <v>2515</v>
      </c>
      <c r="B1927" s="44">
        <v>1988.9109999999998</v>
      </c>
      <c r="C1927">
        <v>-8</v>
      </c>
    </row>
    <row r="1928" spans="1:3" x14ac:dyDescent="0.25">
      <c r="A1928" t="s">
        <v>2516</v>
      </c>
      <c r="B1928" s="44">
        <v>2281.0909999999999</v>
      </c>
      <c r="C1928">
        <v>-9</v>
      </c>
    </row>
    <row r="1929" spans="1:3" x14ac:dyDescent="0.25">
      <c r="A1929" t="s">
        <v>2517</v>
      </c>
      <c r="B1929" s="44">
        <v>2087</v>
      </c>
      <c r="C1929">
        <v>-9</v>
      </c>
    </row>
    <row r="1930" spans="1:3" x14ac:dyDescent="0.25">
      <c r="A1930" t="s">
        <v>2518</v>
      </c>
      <c r="B1930" s="44">
        <v>1988.9109999999998</v>
      </c>
      <c r="C1930">
        <v>-8</v>
      </c>
    </row>
    <row r="1931" spans="1:3" x14ac:dyDescent="0.25">
      <c r="A1931" t="s">
        <v>2519</v>
      </c>
      <c r="B1931" s="44">
        <v>2281.0909999999999</v>
      </c>
      <c r="C1931">
        <v>-10</v>
      </c>
    </row>
    <row r="1932" spans="1:3" x14ac:dyDescent="0.25">
      <c r="A1932" t="s">
        <v>2520</v>
      </c>
      <c r="B1932" s="44">
        <v>2087</v>
      </c>
      <c r="C1932">
        <v>-9</v>
      </c>
    </row>
    <row r="1933" spans="1:3" x14ac:dyDescent="0.25">
      <c r="A1933" t="s">
        <v>2521</v>
      </c>
      <c r="B1933" s="44">
        <v>1988.9109999999998</v>
      </c>
      <c r="C1933">
        <v>-8</v>
      </c>
    </row>
    <row r="1934" spans="1:3" x14ac:dyDescent="0.25">
      <c r="A1934" t="s">
        <v>2522</v>
      </c>
      <c r="B1934" s="44">
        <v>1988.9109999999998</v>
      </c>
      <c r="C1934">
        <v>-8</v>
      </c>
    </row>
    <row r="1935" spans="1:3" x14ac:dyDescent="0.25">
      <c r="A1935" t="s">
        <v>2523</v>
      </c>
      <c r="B1935" s="44">
        <v>1988.9109999999998</v>
      </c>
      <c r="C1935">
        <v>-8</v>
      </c>
    </row>
    <row r="1936" spans="1:3" x14ac:dyDescent="0.25">
      <c r="A1936" t="s">
        <v>2524</v>
      </c>
      <c r="B1936" s="44">
        <v>2087</v>
      </c>
      <c r="C1936">
        <v>-8</v>
      </c>
    </row>
    <row r="1937" spans="1:3" x14ac:dyDescent="0.25">
      <c r="A1937" t="s">
        <v>2525</v>
      </c>
      <c r="B1937" s="44">
        <v>2379.1800000000003</v>
      </c>
      <c r="C1937">
        <v>-10</v>
      </c>
    </row>
    <row r="1938" spans="1:3" x14ac:dyDescent="0.25">
      <c r="A1938" t="s">
        <v>2526</v>
      </c>
      <c r="B1938" s="44">
        <v>1892.9090000000001</v>
      </c>
      <c r="C1938">
        <v>-8</v>
      </c>
    </row>
    <row r="1939" spans="1:3" x14ac:dyDescent="0.25">
      <c r="A1939" t="s">
        <v>2527</v>
      </c>
      <c r="B1939" s="44">
        <v>2087</v>
      </c>
      <c r="C1939">
        <v>-8</v>
      </c>
    </row>
    <row r="1940" spans="1:3" x14ac:dyDescent="0.25">
      <c r="A1940" t="s">
        <v>2528</v>
      </c>
      <c r="B1940" s="44">
        <v>2379.1800000000003</v>
      </c>
      <c r="C1940">
        <v>-10</v>
      </c>
    </row>
    <row r="1941" spans="1:3" x14ac:dyDescent="0.25">
      <c r="A1941" t="s">
        <v>2529</v>
      </c>
      <c r="B1941" s="44">
        <v>2185.0889999999999</v>
      </c>
      <c r="C1941">
        <v>-9</v>
      </c>
    </row>
    <row r="1942" spans="1:3" x14ac:dyDescent="0.25">
      <c r="A1942" t="s">
        <v>2530</v>
      </c>
      <c r="B1942" s="44">
        <v>2185.0889999999999</v>
      </c>
      <c r="C1942">
        <v>-9</v>
      </c>
    </row>
    <row r="1943" spans="1:3" x14ac:dyDescent="0.25">
      <c r="A1943" t="s">
        <v>2531</v>
      </c>
      <c r="B1943" s="44">
        <v>2185.0889999999999</v>
      </c>
      <c r="C1943">
        <v>-9</v>
      </c>
    </row>
    <row r="1944" spans="1:3" x14ac:dyDescent="0.25">
      <c r="A1944" t="s">
        <v>2532</v>
      </c>
      <c r="B1944" s="44">
        <v>1988.9109999999998</v>
      </c>
      <c r="C1944">
        <v>-8</v>
      </c>
    </row>
    <row r="1945" spans="1:3" x14ac:dyDescent="0.25">
      <c r="A1945" t="s">
        <v>2533</v>
      </c>
      <c r="B1945" s="44">
        <v>2185.0889999999999</v>
      </c>
      <c r="C1945">
        <v>-9</v>
      </c>
    </row>
    <row r="1946" spans="1:3" x14ac:dyDescent="0.25">
      <c r="A1946" t="s">
        <v>2534</v>
      </c>
      <c r="B1946" s="44">
        <v>2087</v>
      </c>
      <c r="C1946">
        <v>-8</v>
      </c>
    </row>
    <row r="1947" spans="1:3" x14ac:dyDescent="0.25">
      <c r="A1947" t="s">
        <v>2535</v>
      </c>
      <c r="B1947" s="44">
        <v>2548.2270000000003</v>
      </c>
      <c r="C1947">
        <v>-11</v>
      </c>
    </row>
    <row r="1948" spans="1:3" x14ac:dyDescent="0.25">
      <c r="A1948" t="s">
        <v>2535</v>
      </c>
      <c r="B1948" s="44">
        <v>2281.0909999999999</v>
      </c>
      <c r="C1948">
        <v>-10</v>
      </c>
    </row>
    <row r="1949" spans="1:3" x14ac:dyDescent="0.25">
      <c r="A1949" t="s">
        <v>2536</v>
      </c>
      <c r="B1949" s="44">
        <v>2087</v>
      </c>
      <c r="C1949">
        <v>-8</v>
      </c>
    </row>
    <row r="1950" spans="1:3" x14ac:dyDescent="0.25">
      <c r="A1950" t="s">
        <v>2537</v>
      </c>
      <c r="B1950" s="44">
        <v>2087</v>
      </c>
      <c r="C1950">
        <v>-9</v>
      </c>
    </row>
    <row r="1951" spans="1:3" x14ac:dyDescent="0.25">
      <c r="A1951" t="s">
        <v>2538</v>
      </c>
      <c r="B1951" s="44">
        <v>2281.0909999999999</v>
      </c>
      <c r="C1951">
        <v>-9</v>
      </c>
    </row>
    <row r="1952" spans="1:3" x14ac:dyDescent="0.25">
      <c r="A1952" t="s">
        <v>2539</v>
      </c>
      <c r="B1952" s="44">
        <v>2790.319</v>
      </c>
      <c r="C1952">
        <v>-10</v>
      </c>
    </row>
    <row r="1953" spans="1:3" x14ac:dyDescent="0.25">
      <c r="A1953" t="s">
        <v>2540</v>
      </c>
      <c r="B1953" s="44">
        <v>2185.0889999999999</v>
      </c>
      <c r="C1953">
        <v>-9</v>
      </c>
    </row>
    <row r="1954" spans="1:3" x14ac:dyDescent="0.25">
      <c r="A1954" t="s">
        <v>2541</v>
      </c>
      <c r="B1954" s="44">
        <v>2379.1800000000003</v>
      </c>
      <c r="C1954">
        <v>-10</v>
      </c>
    </row>
    <row r="1955" spans="1:3" x14ac:dyDescent="0.25">
      <c r="A1955" t="s">
        <v>2542</v>
      </c>
      <c r="B1955" s="44">
        <v>2281.0909999999999</v>
      </c>
      <c r="C1955">
        <v>-9</v>
      </c>
    </row>
    <row r="1956" spans="1:3" x14ac:dyDescent="0.25">
      <c r="A1956" t="s">
        <v>2543</v>
      </c>
      <c r="B1956" s="44">
        <v>2281.0909999999999</v>
      </c>
      <c r="C1956">
        <v>-9</v>
      </c>
    </row>
    <row r="1957" spans="1:3" x14ac:dyDescent="0.25">
      <c r="A1957" t="s">
        <v>2544</v>
      </c>
      <c r="B1957" s="44">
        <v>1988.9109999999998</v>
      </c>
      <c r="C1957">
        <v>-8</v>
      </c>
    </row>
    <row r="1958" spans="1:3" x14ac:dyDescent="0.25">
      <c r="A1958" t="s">
        <v>2545</v>
      </c>
      <c r="B1958" s="44">
        <v>2281.0909999999999</v>
      </c>
      <c r="C1958">
        <v>-9</v>
      </c>
    </row>
    <row r="1959" spans="1:3" x14ac:dyDescent="0.25">
      <c r="A1959" t="s">
        <v>2546</v>
      </c>
      <c r="B1959" s="44">
        <v>2087</v>
      </c>
      <c r="C1959">
        <v>-9</v>
      </c>
    </row>
    <row r="1960" spans="1:3" x14ac:dyDescent="0.25">
      <c r="A1960" t="s">
        <v>2547</v>
      </c>
      <c r="B1960" s="44">
        <v>2087</v>
      </c>
      <c r="C1960">
        <v>-9</v>
      </c>
    </row>
    <row r="1961" spans="1:3" x14ac:dyDescent="0.25">
      <c r="A1961" t="s">
        <v>2548</v>
      </c>
      <c r="B1961" s="44">
        <v>2281.0909999999999</v>
      </c>
      <c r="C1961">
        <v>-10</v>
      </c>
    </row>
    <row r="1962" spans="1:3" x14ac:dyDescent="0.25">
      <c r="A1962" t="s">
        <v>2549</v>
      </c>
      <c r="B1962" s="44">
        <v>2548.2270000000003</v>
      </c>
      <c r="C1962">
        <v>-11</v>
      </c>
    </row>
    <row r="1963" spans="1:3" x14ac:dyDescent="0.25">
      <c r="A1963" t="s">
        <v>2550</v>
      </c>
      <c r="B1963" s="44">
        <v>1988.9109999999998</v>
      </c>
      <c r="C1963">
        <v>-8</v>
      </c>
    </row>
    <row r="1964" spans="1:3" x14ac:dyDescent="0.25">
      <c r="A1964" t="s">
        <v>2551</v>
      </c>
      <c r="B1964" s="44">
        <v>1988.9109999999998</v>
      </c>
      <c r="C1964">
        <v>-8</v>
      </c>
    </row>
    <row r="1965" spans="1:3" x14ac:dyDescent="0.25">
      <c r="A1965" t="s">
        <v>2552</v>
      </c>
      <c r="B1965" s="44">
        <v>2087</v>
      </c>
      <c r="C1965">
        <v>-8</v>
      </c>
    </row>
    <row r="1966" spans="1:3" x14ac:dyDescent="0.25">
      <c r="A1966" t="s">
        <v>2553</v>
      </c>
      <c r="B1966" s="44">
        <v>2087</v>
      </c>
      <c r="C1966">
        <v>-8</v>
      </c>
    </row>
    <row r="1967" spans="1:3" x14ac:dyDescent="0.25">
      <c r="A1967" t="s">
        <v>2554</v>
      </c>
      <c r="B1967" s="44">
        <v>2087</v>
      </c>
      <c r="C1967">
        <v>-8</v>
      </c>
    </row>
    <row r="1968" spans="1:3" x14ac:dyDescent="0.25">
      <c r="A1968" t="s">
        <v>2555</v>
      </c>
      <c r="B1968" s="44">
        <v>2281.0909999999999</v>
      </c>
      <c r="C1968">
        <v>-9</v>
      </c>
    </row>
    <row r="1969" spans="1:3" x14ac:dyDescent="0.25">
      <c r="A1969" t="s">
        <v>2556</v>
      </c>
      <c r="B1969" s="44">
        <v>2087</v>
      </c>
      <c r="C1969">
        <v>-8</v>
      </c>
    </row>
    <row r="1970" spans="1:3" x14ac:dyDescent="0.25">
      <c r="A1970" t="s">
        <v>2557</v>
      </c>
      <c r="B1970" s="44">
        <v>2185.0889999999999</v>
      </c>
      <c r="C1970">
        <v>-9</v>
      </c>
    </row>
    <row r="1971" spans="1:3" x14ac:dyDescent="0.25">
      <c r="A1971" t="s">
        <v>2558</v>
      </c>
      <c r="B1971" s="44">
        <v>2185.0889999999999</v>
      </c>
      <c r="C1971">
        <v>-9</v>
      </c>
    </row>
    <row r="1972" spans="1:3" x14ac:dyDescent="0.25">
      <c r="A1972" t="s">
        <v>2559</v>
      </c>
      <c r="B1972" s="44">
        <v>2185.0889999999999</v>
      </c>
      <c r="C1972">
        <v>-9</v>
      </c>
    </row>
    <row r="1973" spans="1:3" x14ac:dyDescent="0.25">
      <c r="A1973" t="s">
        <v>2560</v>
      </c>
      <c r="B1973" s="44">
        <v>2087</v>
      </c>
      <c r="C1973">
        <v>-8</v>
      </c>
    </row>
    <row r="1974" spans="1:3" x14ac:dyDescent="0.25">
      <c r="A1974" t="s">
        <v>2561</v>
      </c>
      <c r="B1974" s="44">
        <v>2379.1800000000003</v>
      </c>
      <c r="C1974">
        <v>-10</v>
      </c>
    </row>
    <row r="1975" spans="1:3" x14ac:dyDescent="0.25">
      <c r="A1975" t="s">
        <v>2562</v>
      </c>
      <c r="B1975" s="44">
        <v>2087</v>
      </c>
      <c r="C1975">
        <v>-8</v>
      </c>
    </row>
    <row r="1976" spans="1:3" x14ac:dyDescent="0.25">
      <c r="A1976" t="s">
        <v>2563</v>
      </c>
      <c r="B1976" s="44">
        <v>2379.1800000000003</v>
      </c>
      <c r="C1976">
        <v>-10</v>
      </c>
    </row>
    <row r="1977" spans="1:3" x14ac:dyDescent="0.25">
      <c r="A1977" t="s">
        <v>2564</v>
      </c>
      <c r="B1977" s="44">
        <v>2281.0909999999999</v>
      </c>
      <c r="C1977">
        <v>-9</v>
      </c>
    </row>
    <row r="1978" spans="1:3" x14ac:dyDescent="0.25">
      <c r="A1978" t="s">
        <v>2565</v>
      </c>
      <c r="B1978" s="44">
        <v>2379.1800000000003</v>
      </c>
      <c r="C1978">
        <v>-10</v>
      </c>
    </row>
    <row r="1979" spans="1:3" x14ac:dyDescent="0.25">
      <c r="A1979" t="s">
        <v>2566</v>
      </c>
      <c r="B1979" s="44">
        <v>2087</v>
      </c>
      <c r="C1979">
        <v>-8</v>
      </c>
    </row>
    <row r="1980" spans="1:3" x14ac:dyDescent="0.25">
      <c r="A1980" t="s">
        <v>2567</v>
      </c>
      <c r="B1980" s="44">
        <v>2087</v>
      </c>
      <c r="C1980">
        <v>-8</v>
      </c>
    </row>
    <row r="1981" spans="1:3" x14ac:dyDescent="0.25">
      <c r="A1981" t="s">
        <v>2568</v>
      </c>
      <c r="B1981" s="44">
        <v>2281.0909999999999</v>
      </c>
      <c r="C1981">
        <v>-10</v>
      </c>
    </row>
    <row r="1982" spans="1:3" x14ac:dyDescent="0.25">
      <c r="A1982" t="s">
        <v>2569</v>
      </c>
      <c r="B1982" s="44">
        <v>2185.0889999999999</v>
      </c>
      <c r="C1982">
        <v>-9</v>
      </c>
    </row>
    <row r="1983" spans="1:3" x14ac:dyDescent="0.25">
      <c r="A1983" t="s">
        <v>2570</v>
      </c>
      <c r="B1983" s="44">
        <v>2185.0889999999999</v>
      </c>
      <c r="C1983">
        <v>-9</v>
      </c>
    </row>
    <row r="1984" spans="1:3" x14ac:dyDescent="0.25">
      <c r="A1984" t="s">
        <v>2571</v>
      </c>
      <c r="B1984" s="44">
        <v>1988.9109999999998</v>
      </c>
      <c r="C1984">
        <v>-8</v>
      </c>
    </row>
    <row r="1985" spans="1:3" x14ac:dyDescent="0.25">
      <c r="A1985" t="s">
        <v>2572</v>
      </c>
      <c r="B1985" s="44">
        <v>2087</v>
      </c>
      <c r="C1985">
        <v>-9</v>
      </c>
    </row>
    <row r="1986" spans="1:3" x14ac:dyDescent="0.25">
      <c r="A1986" t="s">
        <v>2573</v>
      </c>
      <c r="B1986" s="44">
        <v>1892.9090000000001</v>
      </c>
      <c r="C1986">
        <v>-7</v>
      </c>
    </row>
    <row r="1987" spans="1:3" x14ac:dyDescent="0.25">
      <c r="A1987" t="s">
        <v>2573</v>
      </c>
      <c r="B1987" s="44">
        <v>1892.9090000000001</v>
      </c>
      <c r="C1987">
        <v>-7</v>
      </c>
    </row>
    <row r="1988" spans="1:3" x14ac:dyDescent="0.25">
      <c r="A1988" t="s">
        <v>2574</v>
      </c>
      <c r="B1988" s="44">
        <v>2281.0909999999999</v>
      </c>
      <c r="C1988">
        <v>-9</v>
      </c>
    </row>
    <row r="1989" spans="1:3" x14ac:dyDescent="0.25">
      <c r="A1989" t="s">
        <v>2575</v>
      </c>
      <c r="B1989" s="44">
        <v>2185.0889999999999</v>
      </c>
      <c r="C1989">
        <v>-9</v>
      </c>
    </row>
    <row r="1990" spans="1:3" x14ac:dyDescent="0.25">
      <c r="A1990" t="s">
        <v>2576</v>
      </c>
      <c r="B1990" s="44">
        <v>2087</v>
      </c>
      <c r="C1990">
        <v>-8</v>
      </c>
    </row>
    <row r="1991" spans="1:3" x14ac:dyDescent="0.25">
      <c r="A1991" t="s">
        <v>2577</v>
      </c>
      <c r="B1991" s="44">
        <v>1988.9109999999998</v>
      </c>
      <c r="C1991">
        <v>-8</v>
      </c>
    </row>
    <row r="1992" spans="1:3" x14ac:dyDescent="0.25">
      <c r="A1992" t="s">
        <v>2578</v>
      </c>
      <c r="B1992" s="44">
        <v>2185.0889999999999</v>
      </c>
      <c r="C1992">
        <v>-9</v>
      </c>
    </row>
    <row r="1993" spans="1:3" x14ac:dyDescent="0.25">
      <c r="A1993" t="s">
        <v>2579</v>
      </c>
      <c r="B1993" s="44">
        <v>2087</v>
      </c>
      <c r="C1993">
        <v>-8</v>
      </c>
    </row>
    <row r="1994" spans="1:3" x14ac:dyDescent="0.25">
      <c r="A1994" t="s">
        <v>2580</v>
      </c>
      <c r="B1994" s="44">
        <v>2087</v>
      </c>
      <c r="C1994">
        <v>-8</v>
      </c>
    </row>
    <row r="1995" spans="1:3" x14ac:dyDescent="0.25">
      <c r="A1995" t="s">
        <v>2581</v>
      </c>
      <c r="B1995" s="44">
        <v>2087</v>
      </c>
      <c r="C1995">
        <v>-8</v>
      </c>
    </row>
    <row r="1996" spans="1:3" x14ac:dyDescent="0.25">
      <c r="A1996" t="s">
        <v>2582</v>
      </c>
      <c r="B1996" s="44">
        <v>2548.2270000000003</v>
      </c>
      <c r="C1996">
        <v>-11</v>
      </c>
    </row>
    <row r="1997" spans="1:3" x14ac:dyDescent="0.25">
      <c r="A1997" t="s">
        <v>2583</v>
      </c>
      <c r="B1997" s="44">
        <v>2790.319</v>
      </c>
      <c r="C1997">
        <v>-11</v>
      </c>
    </row>
    <row r="1998" spans="1:3" x14ac:dyDescent="0.25">
      <c r="A1998" t="s">
        <v>2584</v>
      </c>
      <c r="B1998" s="44">
        <v>2548.2270000000003</v>
      </c>
      <c r="C1998">
        <v>-11</v>
      </c>
    </row>
    <row r="1999" spans="1:3" x14ac:dyDescent="0.25">
      <c r="A1999" t="s">
        <v>2585</v>
      </c>
      <c r="B1999" s="44">
        <v>1988.9109999999998</v>
      </c>
      <c r="C1999">
        <v>-8</v>
      </c>
    </row>
    <row r="2000" spans="1:3" x14ac:dyDescent="0.25">
      <c r="A2000" t="s">
        <v>2586</v>
      </c>
      <c r="B2000" s="44">
        <v>2185.0889999999999</v>
      </c>
      <c r="C2000">
        <v>-8</v>
      </c>
    </row>
    <row r="2001" spans="1:3" x14ac:dyDescent="0.25">
      <c r="A2001" t="s">
        <v>2587</v>
      </c>
      <c r="B2001" s="44">
        <v>1988.9109999999998</v>
      </c>
      <c r="C2001">
        <v>-8</v>
      </c>
    </row>
    <row r="2002" spans="1:3" x14ac:dyDescent="0.25">
      <c r="A2002" t="s">
        <v>2588</v>
      </c>
      <c r="B2002" s="44">
        <v>2087</v>
      </c>
      <c r="C2002">
        <v>-8</v>
      </c>
    </row>
    <row r="2003" spans="1:3" x14ac:dyDescent="0.25">
      <c r="A2003" t="s">
        <v>2589</v>
      </c>
      <c r="B2003" s="44">
        <v>2548.2270000000003</v>
      </c>
      <c r="C2003">
        <v>-11</v>
      </c>
    </row>
    <row r="2004" spans="1:3" x14ac:dyDescent="0.25">
      <c r="A2004" t="s">
        <v>2590</v>
      </c>
      <c r="B2004" s="44">
        <v>2281.0909999999999</v>
      </c>
      <c r="C2004">
        <v>-9</v>
      </c>
    </row>
    <row r="2005" spans="1:3" x14ac:dyDescent="0.25">
      <c r="A2005" t="s">
        <v>2591</v>
      </c>
      <c r="B2005" s="44">
        <v>2185.0889999999999</v>
      </c>
      <c r="C2005">
        <v>-9</v>
      </c>
    </row>
    <row r="2006" spans="1:3" x14ac:dyDescent="0.25">
      <c r="A2006" t="s">
        <v>2592</v>
      </c>
      <c r="B2006" s="44">
        <v>2379.1800000000003</v>
      </c>
      <c r="C2006">
        <v>-10</v>
      </c>
    </row>
    <row r="2007" spans="1:3" x14ac:dyDescent="0.25">
      <c r="A2007" t="s">
        <v>2593</v>
      </c>
      <c r="B2007" s="44">
        <v>1988.9109999999998</v>
      </c>
      <c r="C2007">
        <v>-8</v>
      </c>
    </row>
    <row r="2008" spans="1:3" x14ac:dyDescent="0.25">
      <c r="A2008" t="s">
        <v>2594</v>
      </c>
      <c r="B2008" s="44">
        <v>1988.9109999999998</v>
      </c>
      <c r="C2008">
        <v>-8</v>
      </c>
    </row>
    <row r="2009" spans="1:3" x14ac:dyDescent="0.25">
      <c r="A2009" t="s">
        <v>2595</v>
      </c>
      <c r="B2009" s="44">
        <v>2281.0909999999999</v>
      </c>
      <c r="C2009">
        <v>-9</v>
      </c>
    </row>
    <row r="2010" spans="1:3" x14ac:dyDescent="0.25">
      <c r="A2010" t="s">
        <v>2596</v>
      </c>
      <c r="B2010" s="44">
        <v>2185.0889999999999</v>
      </c>
      <c r="C2010">
        <v>-9</v>
      </c>
    </row>
    <row r="2011" spans="1:3" x14ac:dyDescent="0.25">
      <c r="A2011" t="s">
        <v>2597</v>
      </c>
      <c r="B2011" s="44">
        <v>2185.0889999999999</v>
      </c>
      <c r="C2011">
        <v>-8</v>
      </c>
    </row>
    <row r="2012" spans="1:3" x14ac:dyDescent="0.25">
      <c r="A2012" t="s">
        <v>2598</v>
      </c>
      <c r="B2012" s="44">
        <v>2087</v>
      </c>
      <c r="C2012">
        <v>-8</v>
      </c>
    </row>
    <row r="2013" spans="1:3" x14ac:dyDescent="0.25">
      <c r="A2013" t="s">
        <v>2599</v>
      </c>
      <c r="B2013" s="44">
        <v>2548.2270000000003</v>
      </c>
      <c r="C2013">
        <v>-10</v>
      </c>
    </row>
    <row r="2014" spans="1:3" x14ac:dyDescent="0.25">
      <c r="A2014" t="s">
        <v>2600</v>
      </c>
      <c r="B2014" s="44">
        <v>2185.0889999999999</v>
      </c>
      <c r="C2014">
        <v>-9</v>
      </c>
    </row>
    <row r="2015" spans="1:3" x14ac:dyDescent="0.25">
      <c r="A2015" t="s">
        <v>2601</v>
      </c>
      <c r="B2015" s="44">
        <v>2281.0909999999999</v>
      </c>
      <c r="C2015">
        <v>-9</v>
      </c>
    </row>
    <row r="2016" spans="1:3" x14ac:dyDescent="0.25">
      <c r="A2016" t="s">
        <v>2602</v>
      </c>
      <c r="B2016" s="44">
        <v>2790.319</v>
      </c>
      <c r="C2016">
        <v>-11</v>
      </c>
    </row>
    <row r="2017" spans="1:3" x14ac:dyDescent="0.25">
      <c r="A2017" t="s">
        <v>2603</v>
      </c>
      <c r="B2017" s="44">
        <v>2185.0889999999999</v>
      </c>
      <c r="C2017">
        <v>-9</v>
      </c>
    </row>
    <row r="2018" spans="1:3" x14ac:dyDescent="0.25">
      <c r="A2018" t="s">
        <v>2604</v>
      </c>
      <c r="B2018" s="44">
        <v>2185.0889999999999</v>
      </c>
      <c r="C2018">
        <v>-9</v>
      </c>
    </row>
    <row r="2019" spans="1:3" x14ac:dyDescent="0.25">
      <c r="A2019" t="s">
        <v>2605</v>
      </c>
      <c r="B2019" s="44">
        <v>2185.0889999999999</v>
      </c>
      <c r="C2019">
        <v>-9</v>
      </c>
    </row>
    <row r="2020" spans="1:3" x14ac:dyDescent="0.25">
      <c r="A2020" t="s">
        <v>2606</v>
      </c>
      <c r="B2020" s="44">
        <v>2185.0889999999999</v>
      </c>
      <c r="C2020">
        <v>-8</v>
      </c>
    </row>
    <row r="2021" spans="1:3" x14ac:dyDescent="0.25">
      <c r="A2021" t="s">
        <v>2607</v>
      </c>
      <c r="B2021" s="44">
        <v>2548.2270000000003</v>
      </c>
      <c r="C2021">
        <v>-11</v>
      </c>
    </row>
    <row r="2022" spans="1:3" x14ac:dyDescent="0.25">
      <c r="A2022" t="s">
        <v>2608</v>
      </c>
      <c r="B2022" s="44">
        <v>2379.1800000000003</v>
      </c>
      <c r="C2022">
        <v>-11</v>
      </c>
    </row>
    <row r="2023" spans="1:3" x14ac:dyDescent="0.25">
      <c r="A2023" t="s">
        <v>2609</v>
      </c>
      <c r="B2023" s="44">
        <v>2087</v>
      </c>
      <c r="C2023">
        <v>-8</v>
      </c>
    </row>
    <row r="2024" spans="1:3" x14ac:dyDescent="0.25">
      <c r="A2024" t="s">
        <v>2610</v>
      </c>
      <c r="B2024" s="44">
        <v>2087</v>
      </c>
      <c r="C2024">
        <v>-9</v>
      </c>
    </row>
    <row r="2025" spans="1:3" x14ac:dyDescent="0.25">
      <c r="A2025" t="s">
        <v>2611</v>
      </c>
      <c r="B2025" s="44">
        <v>2087</v>
      </c>
      <c r="C2025">
        <v>-8</v>
      </c>
    </row>
    <row r="2026" spans="1:3" x14ac:dyDescent="0.25">
      <c r="A2026" t="s">
        <v>2612</v>
      </c>
      <c r="B2026" s="44">
        <v>1988.9109999999998</v>
      </c>
      <c r="C2026">
        <v>-8</v>
      </c>
    </row>
    <row r="2027" spans="1:3" x14ac:dyDescent="0.25">
      <c r="A2027" t="s">
        <v>2613</v>
      </c>
      <c r="B2027" s="44">
        <v>2087</v>
      </c>
      <c r="C2027">
        <v>-8</v>
      </c>
    </row>
    <row r="2028" spans="1:3" x14ac:dyDescent="0.25">
      <c r="A2028" t="s">
        <v>2614</v>
      </c>
      <c r="B2028" s="44">
        <v>2087</v>
      </c>
      <c r="C2028">
        <v>-8</v>
      </c>
    </row>
    <row r="2029" spans="1:3" x14ac:dyDescent="0.25">
      <c r="A2029" t="s">
        <v>2615</v>
      </c>
      <c r="B2029" s="44">
        <v>2281.0909999999999</v>
      </c>
      <c r="C2029">
        <v>-9</v>
      </c>
    </row>
    <row r="2030" spans="1:3" x14ac:dyDescent="0.25">
      <c r="A2030" t="s">
        <v>2616</v>
      </c>
      <c r="B2030" s="44">
        <v>2087</v>
      </c>
      <c r="C2030">
        <v>-8</v>
      </c>
    </row>
    <row r="2031" spans="1:3" x14ac:dyDescent="0.25">
      <c r="A2031" t="s">
        <v>2617</v>
      </c>
      <c r="B2031" s="44">
        <v>2281.0909999999999</v>
      </c>
      <c r="C2031">
        <v>-10</v>
      </c>
    </row>
    <row r="2032" spans="1:3" x14ac:dyDescent="0.25">
      <c r="A2032" t="s">
        <v>2618</v>
      </c>
      <c r="B2032" s="44">
        <v>2379.1800000000003</v>
      </c>
      <c r="C2032">
        <v>-10</v>
      </c>
    </row>
    <row r="2033" spans="1:3" x14ac:dyDescent="0.25">
      <c r="A2033" t="s">
        <v>2619</v>
      </c>
      <c r="B2033" s="44">
        <v>2790.319</v>
      </c>
      <c r="C2033">
        <v>-12</v>
      </c>
    </row>
    <row r="2034" spans="1:3" x14ac:dyDescent="0.25">
      <c r="A2034" t="s">
        <v>2620</v>
      </c>
      <c r="B2034" s="44">
        <v>2087</v>
      </c>
      <c r="C2034">
        <v>-8</v>
      </c>
    </row>
    <row r="2035" spans="1:3" x14ac:dyDescent="0.25">
      <c r="A2035" t="s">
        <v>2621</v>
      </c>
      <c r="B2035" s="44">
        <v>2379.1800000000003</v>
      </c>
      <c r="C2035">
        <v>-10</v>
      </c>
    </row>
    <row r="2036" spans="1:3" x14ac:dyDescent="0.25">
      <c r="A2036" t="s">
        <v>2622</v>
      </c>
      <c r="B2036" s="44">
        <v>2790.319</v>
      </c>
      <c r="C2036">
        <v>-10</v>
      </c>
    </row>
    <row r="2037" spans="1:3" x14ac:dyDescent="0.25">
      <c r="A2037" t="s">
        <v>2623</v>
      </c>
      <c r="B2037" s="44">
        <v>2961.453</v>
      </c>
      <c r="C2037">
        <v>-12</v>
      </c>
    </row>
    <row r="2038" spans="1:3" x14ac:dyDescent="0.25">
      <c r="A2038" t="s">
        <v>2624</v>
      </c>
      <c r="B2038" s="44">
        <v>2185.0889999999999</v>
      </c>
      <c r="C2038">
        <v>-8</v>
      </c>
    </row>
    <row r="2039" spans="1:3" x14ac:dyDescent="0.25">
      <c r="A2039" t="s">
        <v>2625</v>
      </c>
      <c r="B2039" s="44">
        <v>2185.0889999999999</v>
      </c>
      <c r="C2039">
        <v>-9</v>
      </c>
    </row>
    <row r="2040" spans="1:3" x14ac:dyDescent="0.25">
      <c r="A2040" t="s">
        <v>2626</v>
      </c>
      <c r="B2040" s="44">
        <v>1892.9090000000001</v>
      </c>
      <c r="C2040">
        <v>-8</v>
      </c>
    </row>
    <row r="2041" spans="1:3" x14ac:dyDescent="0.25">
      <c r="A2041" t="s">
        <v>2627</v>
      </c>
      <c r="B2041" s="44">
        <v>1988.9109999999998</v>
      </c>
      <c r="C2041">
        <v>-8</v>
      </c>
    </row>
    <row r="2042" spans="1:3" x14ac:dyDescent="0.25">
      <c r="A2042" t="s">
        <v>2628</v>
      </c>
      <c r="B2042" s="44">
        <v>2281.0909999999999</v>
      </c>
      <c r="C2042">
        <v>-9</v>
      </c>
    </row>
    <row r="2043" spans="1:3" x14ac:dyDescent="0.25">
      <c r="A2043" t="s">
        <v>2629</v>
      </c>
      <c r="B2043" s="44">
        <v>2185.0889999999999</v>
      </c>
      <c r="C2043">
        <v>-8</v>
      </c>
    </row>
    <row r="2044" spans="1:3" x14ac:dyDescent="0.25">
      <c r="A2044" t="s">
        <v>2630</v>
      </c>
      <c r="B2044" s="44">
        <v>1988.9109999999998</v>
      </c>
      <c r="C2044">
        <v>-8</v>
      </c>
    </row>
    <row r="2045" spans="1:3" x14ac:dyDescent="0.25">
      <c r="A2045" t="s">
        <v>2631</v>
      </c>
      <c r="B2045" s="44">
        <v>1988.9109999999998</v>
      </c>
      <c r="C2045">
        <v>-8</v>
      </c>
    </row>
    <row r="2046" spans="1:3" x14ac:dyDescent="0.25">
      <c r="A2046" t="s">
        <v>2632</v>
      </c>
      <c r="B2046" s="44">
        <v>1988.9109999999998</v>
      </c>
      <c r="C2046">
        <v>-8</v>
      </c>
    </row>
    <row r="2047" spans="1:3" x14ac:dyDescent="0.25">
      <c r="A2047" t="s">
        <v>2633</v>
      </c>
      <c r="B2047" s="44">
        <v>2185.0889999999999</v>
      </c>
      <c r="C2047">
        <v>-9</v>
      </c>
    </row>
    <row r="2048" spans="1:3" x14ac:dyDescent="0.25">
      <c r="A2048" t="s">
        <v>2634</v>
      </c>
      <c r="B2048" s="44">
        <v>2379.1800000000003</v>
      </c>
      <c r="C2048">
        <v>-10</v>
      </c>
    </row>
    <row r="2049" spans="1:3" x14ac:dyDescent="0.25">
      <c r="A2049" t="s">
        <v>2635</v>
      </c>
      <c r="B2049" s="44">
        <v>2379.1800000000003</v>
      </c>
      <c r="C2049">
        <v>-10</v>
      </c>
    </row>
    <row r="2050" spans="1:3" x14ac:dyDescent="0.25">
      <c r="A2050" t="s">
        <v>2636</v>
      </c>
      <c r="B2050" s="44">
        <v>2379.1800000000003</v>
      </c>
      <c r="C2050">
        <v>-10</v>
      </c>
    </row>
    <row r="2051" spans="1:3" x14ac:dyDescent="0.25">
      <c r="A2051" t="s">
        <v>2637</v>
      </c>
      <c r="B2051" s="44">
        <v>2087</v>
      </c>
      <c r="C2051">
        <v>-8</v>
      </c>
    </row>
    <row r="2052" spans="1:3" x14ac:dyDescent="0.25">
      <c r="A2052" t="s">
        <v>2638</v>
      </c>
      <c r="B2052" s="44">
        <v>2281.0909999999999</v>
      </c>
      <c r="C2052">
        <v>-9</v>
      </c>
    </row>
    <row r="2053" spans="1:3" x14ac:dyDescent="0.25">
      <c r="A2053" t="s">
        <v>2639</v>
      </c>
      <c r="B2053" s="44">
        <v>2087</v>
      </c>
      <c r="C2053">
        <v>-8</v>
      </c>
    </row>
    <row r="2054" spans="1:3" x14ac:dyDescent="0.25">
      <c r="A2054" t="s">
        <v>2640</v>
      </c>
      <c r="B2054" s="44">
        <v>2087</v>
      </c>
      <c r="C2054">
        <v>-9</v>
      </c>
    </row>
    <row r="2055" spans="1:3" x14ac:dyDescent="0.25">
      <c r="A2055" t="s">
        <v>2641</v>
      </c>
      <c r="B2055" s="44">
        <v>2087</v>
      </c>
      <c r="C2055">
        <v>-8</v>
      </c>
    </row>
    <row r="2056" spans="1:3" x14ac:dyDescent="0.25">
      <c r="A2056" t="s">
        <v>2642</v>
      </c>
      <c r="B2056" s="44">
        <v>1988.9109999999998</v>
      </c>
      <c r="C2056">
        <v>-8</v>
      </c>
    </row>
    <row r="2057" spans="1:3" x14ac:dyDescent="0.25">
      <c r="A2057" t="s">
        <v>2643</v>
      </c>
      <c r="B2057" s="44">
        <v>2087</v>
      </c>
      <c r="C2057">
        <v>-8</v>
      </c>
    </row>
    <row r="2058" spans="1:3" x14ac:dyDescent="0.25">
      <c r="A2058" t="s">
        <v>2644</v>
      </c>
      <c r="B2058" s="44">
        <v>2087</v>
      </c>
      <c r="C2058">
        <v>-8</v>
      </c>
    </row>
    <row r="2059" spans="1:3" x14ac:dyDescent="0.25">
      <c r="A2059" t="s">
        <v>2645</v>
      </c>
      <c r="B2059" s="44">
        <v>2281.0909999999999</v>
      </c>
      <c r="C2059">
        <v>-10</v>
      </c>
    </row>
    <row r="2060" spans="1:3" x14ac:dyDescent="0.25">
      <c r="A2060" t="s">
        <v>2646</v>
      </c>
      <c r="B2060" s="44">
        <v>2185.0889999999999</v>
      </c>
      <c r="C2060">
        <v>-9</v>
      </c>
    </row>
    <row r="2061" spans="1:3" x14ac:dyDescent="0.25">
      <c r="A2061" t="s">
        <v>2647</v>
      </c>
      <c r="B2061" s="44">
        <v>2087</v>
      </c>
      <c r="C2061">
        <v>-8</v>
      </c>
    </row>
    <row r="2062" spans="1:3" x14ac:dyDescent="0.25">
      <c r="A2062" t="s">
        <v>2648</v>
      </c>
      <c r="B2062" s="44">
        <v>2087</v>
      </c>
      <c r="C2062">
        <v>-8</v>
      </c>
    </row>
    <row r="2063" spans="1:3" x14ac:dyDescent="0.25">
      <c r="A2063" t="s">
        <v>2649</v>
      </c>
      <c r="B2063" s="44">
        <v>2185.0889999999999</v>
      </c>
      <c r="C2063">
        <v>-9</v>
      </c>
    </row>
    <row r="2064" spans="1:3" x14ac:dyDescent="0.25">
      <c r="A2064" t="s">
        <v>2650</v>
      </c>
      <c r="B2064" s="44">
        <v>2790.319</v>
      </c>
      <c r="C2064">
        <v>-10</v>
      </c>
    </row>
    <row r="2065" spans="1:3" x14ac:dyDescent="0.25">
      <c r="A2065" t="s">
        <v>2651</v>
      </c>
      <c r="B2065" s="44">
        <v>2185.0889999999999</v>
      </c>
      <c r="C2065">
        <v>-9</v>
      </c>
    </row>
    <row r="2066" spans="1:3" x14ac:dyDescent="0.25">
      <c r="A2066" t="s">
        <v>2652</v>
      </c>
      <c r="B2066" s="44">
        <v>2281.0909999999999</v>
      </c>
      <c r="C2066">
        <v>-10</v>
      </c>
    </row>
    <row r="2067" spans="1:3" x14ac:dyDescent="0.25">
      <c r="A2067" t="s">
        <v>2653</v>
      </c>
      <c r="B2067" s="44">
        <v>2087</v>
      </c>
      <c r="C2067">
        <v>-8</v>
      </c>
    </row>
    <row r="2068" spans="1:3" x14ac:dyDescent="0.25">
      <c r="A2068" t="s">
        <v>2654</v>
      </c>
      <c r="B2068" s="44">
        <v>2087</v>
      </c>
      <c r="C2068">
        <v>-8</v>
      </c>
    </row>
    <row r="2069" spans="1:3" x14ac:dyDescent="0.25">
      <c r="A2069" t="s">
        <v>2655</v>
      </c>
      <c r="B2069" s="44">
        <v>2185.0889999999999</v>
      </c>
      <c r="C2069">
        <v>-9</v>
      </c>
    </row>
    <row r="2070" spans="1:3" x14ac:dyDescent="0.25">
      <c r="A2070" t="s">
        <v>2656</v>
      </c>
      <c r="B2070" s="44">
        <v>2379.1800000000003</v>
      </c>
      <c r="C2070">
        <v>-10</v>
      </c>
    </row>
    <row r="2071" spans="1:3" x14ac:dyDescent="0.25">
      <c r="A2071" t="s">
        <v>2657</v>
      </c>
      <c r="B2071" s="44">
        <v>2379.1800000000003</v>
      </c>
      <c r="C2071">
        <v>-10</v>
      </c>
    </row>
    <row r="2072" spans="1:3" x14ac:dyDescent="0.25">
      <c r="A2072" t="s">
        <v>2658</v>
      </c>
      <c r="B2072" s="44">
        <v>2185.0889999999999</v>
      </c>
      <c r="C2072">
        <v>-9</v>
      </c>
    </row>
    <row r="2073" spans="1:3" x14ac:dyDescent="0.25">
      <c r="A2073" t="s">
        <v>2659</v>
      </c>
      <c r="B2073" s="44">
        <v>2087</v>
      </c>
      <c r="C2073">
        <v>-9</v>
      </c>
    </row>
    <row r="2074" spans="1:3" x14ac:dyDescent="0.25">
      <c r="A2074" t="s">
        <v>2660</v>
      </c>
      <c r="B2074" s="44">
        <v>2379.1800000000003</v>
      </c>
      <c r="C2074">
        <v>-10</v>
      </c>
    </row>
    <row r="2075" spans="1:3" x14ac:dyDescent="0.25">
      <c r="A2075" t="s">
        <v>2661</v>
      </c>
      <c r="B2075" s="44">
        <v>2087</v>
      </c>
      <c r="C2075">
        <v>-8</v>
      </c>
    </row>
    <row r="2076" spans="1:3" x14ac:dyDescent="0.25">
      <c r="A2076" t="s">
        <v>2662</v>
      </c>
      <c r="B2076" s="44">
        <v>1988.9109999999998</v>
      </c>
      <c r="C2076">
        <v>-8</v>
      </c>
    </row>
    <row r="2077" spans="1:3" x14ac:dyDescent="0.25">
      <c r="A2077" t="s">
        <v>2663</v>
      </c>
      <c r="B2077" s="44">
        <v>2379.1800000000003</v>
      </c>
      <c r="C2077">
        <v>-10</v>
      </c>
    </row>
    <row r="2078" spans="1:3" x14ac:dyDescent="0.25">
      <c r="A2078" t="s">
        <v>2664</v>
      </c>
      <c r="B2078" s="44">
        <v>2087</v>
      </c>
      <c r="C2078">
        <v>-8</v>
      </c>
    </row>
    <row r="2079" spans="1:3" x14ac:dyDescent="0.25">
      <c r="A2079" t="s">
        <v>2665</v>
      </c>
      <c r="B2079" s="44">
        <v>1988.9109999999998</v>
      </c>
      <c r="C2079">
        <v>-8</v>
      </c>
    </row>
    <row r="2080" spans="1:3" x14ac:dyDescent="0.25">
      <c r="A2080" t="s">
        <v>2665</v>
      </c>
      <c r="B2080" s="44">
        <v>2087</v>
      </c>
      <c r="C2080">
        <v>-8</v>
      </c>
    </row>
    <row r="2081" spans="1:3" x14ac:dyDescent="0.25">
      <c r="A2081" t="s">
        <v>2666</v>
      </c>
      <c r="B2081" s="44">
        <v>1988.9109999999998</v>
      </c>
      <c r="C2081">
        <v>-8</v>
      </c>
    </row>
    <row r="2082" spans="1:3" x14ac:dyDescent="0.25">
      <c r="A2082" t="s">
        <v>2667</v>
      </c>
      <c r="B2082" s="44">
        <v>2087</v>
      </c>
      <c r="C2082">
        <v>-8</v>
      </c>
    </row>
    <row r="2083" spans="1:3" x14ac:dyDescent="0.25">
      <c r="A2083" t="s">
        <v>2668</v>
      </c>
      <c r="B2083" s="44">
        <v>2548.2270000000003</v>
      </c>
      <c r="C2083">
        <v>-11</v>
      </c>
    </row>
    <row r="2084" spans="1:3" x14ac:dyDescent="0.25">
      <c r="A2084" t="s">
        <v>2669</v>
      </c>
      <c r="B2084" s="44">
        <v>1988.9109999999998</v>
      </c>
      <c r="C2084">
        <v>-8</v>
      </c>
    </row>
    <row r="2085" spans="1:3" x14ac:dyDescent="0.25">
      <c r="A2085" t="s">
        <v>2670</v>
      </c>
      <c r="B2085" s="44">
        <v>2087</v>
      </c>
      <c r="C2085">
        <v>-8</v>
      </c>
    </row>
    <row r="2086" spans="1:3" x14ac:dyDescent="0.25">
      <c r="A2086" t="s">
        <v>2671</v>
      </c>
      <c r="B2086" s="44">
        <v>2087</v>
      </c>
      <c r="C2086">
        <v>-8</v>
      </c>
    </row>
    <row r="2087" spans="1:3" x14ac:dyDescent="0.25">
      <c r="A2087" t="s">
        <v>2672</v>
      </c>
      <c r="B2087" s="44">
        <v>2087</v>
      </c>
      <c r="C2087">
        <v>-8</v>
      </c>
    </row>
    <row r="2088" spans="1:3" x14ac:dyDescent="0.25">
      <c r="A2088" t="s">
        <v>2673</v>
      </c>
      <c r="B2088" s="44">
        <v>2087</v>
      </c>
      <c r="C2088">
        <v>-8</v>
      </c>
    </row>
    <row r="2089" spans="1:3" x14ac:dyDescent="0.25">
      <c r="A2089" t="s">
        <v>2674</v>
      </c>
      <c r="B2089" s="44">
        <v>1988.9109999999998</v>
      </c>
      <c r="C2089">
        <v>-8</v>
      </c>
    </row>
    <row r="2090" spans="1:3" x14ac:dyDescent="0.25">
      <c r="A2090" t="s">
        <v>2675</v>
      </c>
      <c r="B2090" s="44">
        <v>2087</v>
      </c>
      <c r="C2090">
        <v>-8</v>
      </c>
    </row>
    <row r="2091" spans="1:3" x14ac:dyDescent="0.25">
      <c r="A2091" t="s">
        <v>2676</v>
      </c>
      <c r="B2091" s="44">
        <v>1988.9109999999998</v>
      </c>
      <c r="C2091">
        <v>-8</v>
      </c>
    </row>
    <row r="2092" spans="1:3" x14ac:dyDescent="0.25">
      <c r="A2092" t="s">
        <v>2677</v>
      </c>
      <c r="B2092" s="44">
        <v>2087</v>
      </c>
      <c r="C2092">
        <v>-8</v>
      </c>
    </row>
    <row r="2093" spans="1:3" x14ac:dyDescent="0.25">
      <c r="A2093" t="s">
        <v>2678</v>
      </c>
      <c r="B2093" s="44">
        <v>2185.0889999999999</v>
      </c>
      <c r="C2093">
        <v>-8</v>
      </c>
    </row>
    <row r="2094" spans="1:3" x14ac:dyDescent="0.25">
      <c r="A2094" t="s">
        <v>2679</v>
      </c>
      <c r="B2094" s="44">
        <v>2281.0909999999999</v>
      </c>
      <c r="C2094">
        <v>-9</v>
      </c>
    </row>
    <row r="2095" spans="1:3" x14ac:dyDescent="0.25">
      <c r="A2095" t="s">
        <v>2680</v>
      </c>
      <c r="B2095" s="44">
        <v>2281.0909999999999</v>
      </c>
      <c r="C2095">
        <v>-9</v>
      </c>
    </row>
    <row r="2096" spans="1:3" x14ac:dyDescent="0.25">
      <c r="A2096" t="s">
        <v>2679</v>
      </c>
      <c r="B2096" s="44">
        <v>2379.1800000000003</v>
      </c>
      <c r="C2096">
        <v>-10</v>
      </c>
    </row>
    <row r="2097" spans="1:3" x14ac:dyDescent="0.25">
      <c r="A2097" t="s">
        <v>2681</v>
      </c>
      <c r="B2097" s="44">
        <v>2185.0889999999999</v>
      </c>
      <c r="C2097">
        <v>-9</v>
      </c>
    </row>
    <row r="2098" spans="1:3" x14ac:dyDescent="0.25">
      <c r="A2098" t="s">
        <v>2682</v>
      </c>
      <c r="B2098" s="44">
        <v>2185.0889999999999</v>
      </c>
      <c r="C2098">
        <v>-9</v>
      </c>
    </row>
    <row r="2099" spans="1:3" x14ac:dyDescent="0.25">
      <c r="A2099" t="s">
        <v>2683</v>
      </c>
      <c r="B2099" s="44">
        <v>2087</v>
      </c>
      <c r="C2099">
        <v>-8</v>
      </c>
    </row>
    <row r="2100" spans="1:3" x14ac:dyDescent="0.25">
      <c r="A2100" t="s">
        <v>2684</v>
      </c>
      <c r="B2100" s="44">
        <v>2185.0889999999999</v>
      </c>
      <c r="C2100">
        <v>-9</v>
      </c>
    </row>
    <row r="2101" spans="1:3" x14ac:dyDescent="0.25">
      <c r="A2101" t="s">
        <v>2685</v>
      </c>
      <c r="B2101" s="44">
        <v>2087</v>
      </c>
      <c r="C2101">
        <v>-8</v>
      </c>
    </row>
    <row r="2102" spans="1:3" x14ac:dyDescent="0.25">
      <c r="A2102" t="s">
        <v>2686</v>
      </c>
      <c r="B2102" s="44">
        <v>2185.0889999999999</v>
      </c>
      <c r="C2102">
        <v>-9</v>
      </c>
    </row>
    <row r="2103" spans="1:3" x14ac:dyDescent="0.25">
      <c r="A2103" t="s">
        <v>2687</v>
      </c>
      <c r="B2103" s="44">
        <v>2185.0889999999999</v>
      </c>
      <c r="C2103">
        <v>-9</v>
      </c>
    </row>
    <row r="2104" spans="1:3" x14ac:dyDescent="0.25">
      <c r="A2104" t="s">
        <v>2688</v>
      </c>
      <c r="B2104" s="44">
        <v>2790.319</v>
      </c>
      <c r="C2104">
        <v>-11</v>
      </c>
    </row>
    <row r="2105" spans="1:3" x14ac:dyDescent="0.25">
      <c r="A2105" t="s">
        <v>2689</v>
      </c>
      <c r="B2105" s="44">
        <v>2087</v>
      </c>
      <c r="C2105">
        <v>-8</v>
      </c>
    </row>
    <row r="2106" spans="1:3" x14ac:dyDescent="0.25">
      <c r="A2106" t="s">
        <v>2690</v>
      </c>
      <c r="B2106" s="44">
        <v>2185.0889999999999</v>
      </c>
      <c r="C2106">
        <v>-8</v>
      </c>
    </row>
    <row r="2107" spans="1:3" x14ac:dyDescent="0.25">
      <c r="A2107" t="s">
        <v>2691</v>
      </c>
      <c r="B2107" s="44">
        <v>2087</v>
      </c>
      <c r="C2107">
        <v>-8</v>
      </c>
    </row>
    <row r="2108" spans="1:3" x14ac:dyDescent="0.25">
      <c r="A2108" t="s">
        <v>2692</v>
      </c>
      <c r="B2108" s="44">
        <v>2281.0909999999999</v>
      </c>
      <c r="C2108">
        <v>-9</v>
      </c>
    </row>
    <row r="2109" spans="1:3" x14ac:dyDescent="0.25">
      <c r="A2109" t="s">
        <v>2693</v>
      </c>
      <c r="B2109" s="44">
        <v>2185.0889999999999</v>
      </c>
      <c r="C2109">
        <v>-9</v>
      </c>
    </row>
    <row r="2110" spans="1:3" x14ac:dyDescent="0.25">
      <c r="A2110" t="s">
        <v>2694</v>
      </c>
      <c r="B2110" s="44">
        <v>2087</v>
      </c>
      <c r="C2110">
        <v>-8</v>
      </c>
    </row>
    <row r="2111" spans="1:3" x14ac:dyDescent="0.25">
      <c r="A2111" t="s">
        <v>2695</v>
      </c>
      <c r="B2111" s="44">
        <v>2087</v>
      </c>
      <c r="C2111">
        <v>-8</v>
      </c>
    </row>
    <row r="2112" spans="1:3" x14ac:dyDescent="0.25">
      <c r="A2112" t="s">
        <v>2686</v>
      </c>
      <c r="B2112" s="44">
        <v>2087</v>
      </c>
      <c r="C2112">
        <v>-8</v>
      </c>
    </row>
    <row r="2113" spans="1:3" x14ac:dyDescent="0.25">
      <c r="A2113" t="s">
        <v>2696</v>
      </c>
      <c r="B2113" s="44">
        <v>2185.0889999999999</v>
      </c>
      <c r="C2113">
        <v>-8</v>
      </c>
    </row>
    <row r="2114" spans="1:3" x14ac:dyDescent="0.25">
      <c r="A2114" t="s">
        <v>2689</v>
      </c>
      <c r="B2114" s="44">
        <v>2548.2270000000003</v>
      </c>
      <c r="C2114">
        <v>-10</v>
      </c>
    </row>
    <row r="2115" spans="1:3" x14ac:dyDescent="0.25">
      <c r="A2115" t="s">
        <v>2697</v>
      </c>
      <c r="B2115" s="44">
        <v>2185.0889999999999</v>
      </c>
      <c r="C2115">
        <v>-9</v>
      </c>
    </row>
    <row r="2116" spans="1:3" x14ac:dyDescent="0.25">
      <c r="A2116" t="s">
        <v>2698</v>
      </c>
      <c r="B2116" s="44">
        <v>2185.0889999999999</v>
      </c>
      <c r="C2116">
        <v>-9</v>
      </c>
    </row>
    <row r="2117" spans="1:3" x14ac:dyDescent="0.25">
      <c r="A2117" t="s">
        <v>2699</v>
      </c>
      <c r="B2117" s="44">
        <v>2281.0909999999999</v>
      </c>
      <c r="C2117">
        <v>-9</v>
      </c>
    </row>
    <row r="2118" spans="1:3" x14ac:dyDescent="0.25">
      <c r="A2118" t="s">
        <v>2700</v>
      </c>
      <c r="B2118" s="44">
        <v>2185.0889999999999</v>
      </c>
      <c r="C2118">
        <v>-9</v>
      </c>
    </row>
    <row r="2119" spans="1:3" x14ac:dyDescent="0.25">
      <c r="A2119" t="s">
        <v>2701</v>
      </c>
      <c r="B2119" s="44">
        <v>2548.2270000000003</v>
      </c>
      <c r="C2119">
        <v>-11</v>
      </c>
    </row>
    <row r="2120" spans="1:3" x14ac:dyDescent="0.25">
      <c r="A2120" t="s">
        <v>2702</v>
      </c>
      <c r="B2120" s="44">
        <v>2281.0909999999999</v>
      </c>
      <c r="C2120">
        <v>-10</v>
      </c>
    </row>
    <row r="2121" spans="1:3" x14ac:dyDescent="0.25">
      <c r="A2121" t="s">
        <v>2703</v>
      </c>
      <c r="B2121" s="44">
        <v>2790.319</v>
      </c>
      <c r="C2121">
        <v>-11</v>
      </c>
    </row>
    <row r="2122" spans="1:3" x14ac:dyDescent="0.25">
      <c r="A2122" t="s">
        <v>2704</v>
      </c>
      <c r="B2122" s="44">
        <v>2087</v>
      </c>
      <c r="C2122">
        <v>-8</v>
      </c>
    </row>
    <row r="2123" spans="1:3" x14ac:dyDescent="0.25">
      <c r="A2123" t="s">
        <v>2705</v>
      </c>
      <c r="B2123" s="44">
        <v>2548.2270000000003</v>
      </c>
      <c r="C2123">
        <v>-10</v>
      </c>
    </row>
    <row r="2124" spans="1:3" x14ac:dyDescent="0.25">
      <c r="A2124" t="s">
        <v>2706</v>
      </c>
      <c r="B2124" s="44">
        <v>2379.1800000000003</v>
      </c>
      <c r="C2124">
        <v>-10</v>
      </c>
    </row>
    <row r="2125" spans="1:3" x14ac:dyDescent="0.25">
      <c r="A2125" t="s">
        <v>2707</v>
      </c>
      <c r="B2125" s="44">
        <v>2087</v>
      </c>
      <c r="C2125">
        <v>-8</v>
      </c>
    </row>
    <row r="2126" spans="1:3" x14ac:dyDescent="0.25">
      <c r="A2126" t="s">
        <v>2708</v>
      </c>
      <c r="B2126" s="44">
        <v>2790.319</v>
      </c>
      <c r="C2126">
        <v>-10</v>
      </c>
    </row>
    <row r="2127" spans="1:3" x14ac:dyDescent="0.25">
      <c r="A2127" t="s">
        <v>2709</v>
      </c>
      <c r="B2127" s="44">
        <v>2548.2270000000003</v>
      </c>
      <c r="C2127">
        <v>-11</v>
      </c>
    </row>
    <row r="2128" spans="1:3" x14ac:dyDescent="0.25">
      <c r="A2128" t="s">
        <v>2710</v>
      </c>
      <c r="B2128" s="44">
        <v>2790.319</v>
      </c>
      <c r="C2128">
        <v>-11</v>
      </c>
    </row>
    <row r="2129" spans="1:3" x14ac:dyDescent="0.25">
      <c r="A2129" t="s">
        <v>2711</v>
      </c>
      <c r="B2129" s="44">
        <v>2548.2270000000003</v>
      </c>
      <c r="C2129">
        <v>-11</v>
      </c>
    </row>
    <row r="2130" spans="1:3" x14ac:dyDescent="0.25">
      <c r="A2130" t="s">
        <v>2712</v>
      </c>
      <c r="B2130" s="44">
        <v>2087</v>
      </c>
      <c r="C2130">
        <v>-8</v>
      </c>
    </row>
    <row r="2131" spans="1:3" x14ac:dyDescent="0.25">
      <c r="A2131" t="s">
        <v>2713</v>
      </c>
      <c r="B2131" s="44">
        <v>2281.0909999999999</v>
      </c>
      <c r="C2131">
        <v>-9</v>
      </c>
    </row>
    <row r="2132" spans="1:3" x14ac:dyDescent="0.25">
      <c r="A2132" t="s">
        <v>2714</v>
      </c>
      <c r="B2132" s="44">
        <v>2281.0909999999999</v>
      </c>
      <c r="C2132">
        <v>-10</v>
      </c>
    </row>
    <row r="2133" spans="1:3" x14ac:dyDescent="0.25">
      <c r="A2133" t="s">
        <v>2715</v>
      </c>
      <c r="B2133" s="44">
        <v>2281.0909999999999</v>
      </c>
      <c r="C2133">
        <v>-10</v>
      </c>
    </row>
    <row r="2134" spans="1:3" x14ac:dyDescent="0.25">
      <c r="A2134" t="s">
        <v>2716</v>
      </c>
      <c r="B2134" s="44">
        <v>2185.0889999999999</v>
      </c>
      <c r="C2134">
        <v>-9</v>
      </c>
    </row>
    <row r="2135" spans="1:3" x14ac:dyDescent="0.25">
      <c r="A2135" t="s">
        <v>2717</v>
      </c>
      <c r="B2135" s="44">
        <v>2548.2270000000003</v>
      </c>
      <c r="C2135">
        <v>-11</v>
      </c>
    </row>
    <row r="2136" spans="1:3" x14ac:dyDescent="0.25">
      <c r="A2136" t="s">
        <v>2718</v>
      </c>
      <c r="B2136" s="44">
        <v>2790.319</v>
      </c>
      <c r="C2136">
        <v>-11</v>
      </c>
    </row>
    <row r="2137" spans="1:3" x14ac:dyDescent="0.25">
      <c r="A2137" t="s">
        <v>2719</v>
      </c>
      <c r="B2137" s="44">
        <v>2185.0889999999999</v>
      </c>
      <c r="C2137">
        <v>-9</v>
      </c>
    </row>
    <row r="2138" spans="1:3" x14ac:dyDescent="0.25">
      <c r="A2138" t="s">
        <v>2720</v>
      </c>
      <c r="B2138" s="44">
        <v>2185.0889999999999</v>
      </c>
      <c r="C2138">
        <v>-9</v>
      </c>
    </row>
    <row r="2139" spans="1:3" x14ac:dyDescent="0.25">
      <c r="A2139" t="s">
        <v>2721</v>
      </c>
      <c r="B2139" s="44">
        <v>2281.0909999999999</v>
      </c>
      <c r="C2139">
        <v>-9</v>
      </c>
    </row>
    <row r="2140" spans="1:3" x14ac:dyDescent="0.25">
      <c r="A2140" t="s">
        <v>2722</v>
      </c>
      <c r="B2140" s="44">
        <v>2281.0909999999999</v>
      </c>
      <c r="C2140">
        <v>-9</v>
      </c>
    </row>
    <row r="2141" spans="1:3" x14ac:dyDescent="0.25">
      <c r="A2141" t="s">
        <v>2723</v>
      </c>
      <c r="B2141" s="44">
        <v>2548.2270000000003</v>
      </c>
      <c r="C2141">
        <v>-11</v>
      </c>
    </row>
    <row r="2142" spans="1:3" x14ac:dyDescent="0.25">
      <c r="A2142" t="s">
        <v>2724</v>
      </c>
      <c r="B2142" s="44">
        <v>2548.2270000000003</v>
      </c>
      <c r="C2142">
        <v>-11</v>
      </c>
    </row>
    <row r="2143" spans="1:3" x14ac:dyDescent="0.25">
      <c r="A2143" t="s">
        <v>2725</v>
      </c>
      <c r="B2143" s="44">
        <v>2281.0909999999999</v>
      </c>
      <c r="C2143">
        <v>-9</v>
      </c>
    </row>
    <row r="2144" spans="1:3" x14ac:dyDescent="0.25">
      <c r="A2144" t="s">
        <v>2726</v>
      </c>
      <c r="B2144" s="44">
        <v>2379.1800000000003</v>
      </c>
      <c r="C2144">
        <v>-10</v>
      </c>
    </row>
    <row r="2145" spans="1:3" x14ac:dyDescent="0.25">
      <c r="A2145" t="s">
        <v>2727</v>
      </c>
      <c r="B2145" s="44">
        <v>2185.0889999999999</v>
      </c>
      <c r="C2145">
        <v>-9</v>
      </c>
    </row>
    <row r="2146" spans="1:3" x14ac:dyDescent="0.25">
      <c r="A2146" t="s">
        <v>2728</v>
      </c>
      <c r="B2146" s="44">
        <v>2281.0909999999999</v>
      </c>
      <c r="C2146">
        <v>-10</v>
      </c>
    </row>
    <row r="2147" spans="1:3" x14ac:dyDescent="0.25">
      <c r="A2147" t="s">
        <v>2729</v>
      </c>
      <c r="B2147" s="44">
        <v>2281.0909999999999</v>
      </c>
      <c r="C2147">
        <v>-10</v>
      </c>
    </row>
    <row r="2148" spans="1:3" x14ac:dyDescent="0.25">
      <c r="A2148" t="s">
        <v>2730</v>
      </c>
      <c r="B2148" s="44">
        <v>2185.0889999999999</v>
      </c>
      <c r="C2148">
        <v>-9</v>
      </c>
    </row>
    <row r="2149" spans="1:3" x14ac:dyDescent="0.25">
      <c r="A2149" t="s">
        <v>2731</v>
      </c>
      <c r="B2149" s="44">
        <v>2087</v>
      </c>
      <c r="C2149">
        <v>-8</v>
      </c>
    </row>
    <row r="2150" spans="1:3" x14ac:dyDescent="0.25">
      <c r="A2150" t="s">
        <v>2732</v>
      </c>
      <c r="B2150" s="44">
        <v>2087</v>
      </c>
      <c r="C2150">
        <v>-8</v>
      </c>
    </row>
    <row r="2151" spans="1:3" x14ac:dyDescent="0.25">
      <c r="A2151" t="s">
        <v>2733</v>
      </c>
      <c r="B2151" s="44">
        <v>2087</v>
      </c>
      <c r="C2151">
        <v>-9</v>
      </c>
    </row>
    <row r="2152" spans="1:3" x14ac:dyDescent="0.25">
      <c r="A2152" t="s">
        <v>2734</v>
      </c>
      <c r="B2152" s="44">
        <v>2087</v>
      </c>
      <c r="C2152">
        <v>-8</v>
      </c>
    </row>
    <row r="2153" spans="1:3" x14ac:dyDescent="0.25">
      <c r="A2153" t="s">
        <v>2735</v>
      </c>
      <c r="B2153" s="44">
        <v>2281.0909999999999</v>
      </c>
      <c r="C2153">
        <v>-10</v>
      </c>
    </row>
    <row r="2154" spans="1:3" x14ac:dyDescent="0.25">
      <c r="A2154" t="s">
        <v>2736</v>
      </c>
      <c r="B2154" s="44">
        <v>1988.9109999999998</v>
      </c>
      <c r="C2154">
        <v>-8</v>
      </c>
    </row>
    <row r="2155" spans="1:3" x14ac:dyDescent="0.25">
      <c r="A2155" t="s">
        <v>2737</v>
      </c>
      <c r="B2155" s="44">
        <v>1988.9109999999998</v>
      </c>
      <c r="C2155">
        <v>-8</v>
      </c>
    </row>
    <row r="2156" spans="1:3" x14ac:dyDescent="0.25">
      <c r="A2156" t="s">
        <v>2738</v>
      </c>
      <c r="B2156" s="44">
        <v>1988.9109999999998</v>
      </c>
      <c r="C2156">
        <v>-8</v>
      </c>
    </row>
    <row r="2157" spans="1:3" x14ac:dyDescent="0.25">
      <c r="A2157" t="s">
        <v>2739</v>
      </c>
      <c r="B2157" s="44">
        <v>1988.9109999999998</v>
      </c>
      <c r="C2157">
        <v>-8</v>
      </c>
    </row>
    <row r="2158" spans="1:3" x14ac:dyDescent="0.25">
      <c r="A2158" t="s">
        <v>2740</v>
      </c>
      <c r="B2158" s="44">
        <v>2087</v>
      </c>
      <c r="C2158">
        <v>-8</v>
      </c>
    </row>
    <row r="2159" spans="1:3" x14ac:dyDescent="0.25">
      <c r="A2159" t="s">
        <v>2741</v>
      </c>
      <c r="B2159" s="44">
        <v>2087</v>
      </c>
      <c r="C2159">
        <v>-8</v>
      </c>
    </row>
    <row r="2160" spans="1:3" x14ac:dyDescent="0.25">
      <c r="A2160" t="s">
        <v>2742</v>
      </c>
      <c r="B2160" s="44">
        <v>2087</v>
      </c>
      <c r="C2160">
        <v>-9</v>
      </c>
    </row>
    <row r="2161" spans="1:3" x14ac:dyDescent="0.25">
      <c r="A2161" t="s">
        <v>2743</v>
      </c>
      <c r="B2161" s="44">
        <v>2087</v>
      </c>
      <c r="C2161">
        <v>-9</v>
      </c>
    </row>
    <row r="2162" spans="1:3" x14ac:dyDescent="0.25">
      <c r="A2162" t="s">
        <v>2744</v>
      </c>
      <c r="B2162" s="44">
        <v>2087</v>
      </c>
      <c r="C2162">
        <v>-9</v>
      </c>
    </row>
    <row r="2163" spans="1:3" x14ac:dyDescent="0.25">
      <c r="A2163" t="s">
        <v>2745</v>
      </c>
      <c r="B2163" s="44">
        <v>2961.453</v>
      </c>
      <c r="C2163">
        <v>-11</v>
      </c>
    </row>
    <row r="2164" spans="1:3" x14ac:dyDescent="0.25">
      <c r="A2164" t="s">
        <v>2746</v>
      </c>
      <c r="B2164" s="44">
        <v>1988.9109999999998</v>
      </c>
      <c r="C2164">
        <v>-8</v>
      </c>
    </row>
    <row r="2165" spans="1:3" x14ac:dyDescent="0.25">
      <c r="A2165" t="s">
        <v>2747</v>
      </c>
      <c r="B2165" s="44">
        <v>1892.9090000000001</v>
      </c>
      <c r="C2165">
        <v>-7</v>
      </c>
    </row>
    <row r="2166" spans="1:3" x14ac:dyDescent="0.25">
      <c r="A2166" t="s">
        <v>2748</v>
      </c>
      <c r="B2166" s="44">
        <v>2087</v>
      </c>
      <c r="C2166">
        <v>-8</v>
      </c>
    </row>
    <row r="2167" spans="1:3" x14ac:dyDescent="0.25">
      <c r="A2167" t="s">
        <v>2749</v>
      </c>
      <c r="B2167" s="44">
        <v>2087</v>
      </c>
      <c r="C2167">
        <v>-9</v>
      </c>
    </row>
    <row r="2168" spans="1:3" x14ac:dyDescent="0.25">
      <c r="A2168" t="s">
        <v>2750</v>
      </c>
      <c r="B2168" s="44">
        <v>2087</v>
      </c>
      <c r="C2168">
        <v>-8</v>
      </c>
    </row>
    <row r="2169" spans="1:3" x14ac:dyDescent="0.25">
      <c r="A2169" t="s">
        <v>2751</v>
      </c>
      <c r="B2169" s="44">
        <v>1988.9109999999998</v>
      </c>
      <c r="C2169">
        <v>-8</v>
      </c>
    </row>
    <row r="2170" spans="1:3" x14ac:dyDescent="0.25">
      <c r="A2170" t="s">
        <v>2752</v>
      </c>
      <c r="B2170" s="44">
        <v>2087</v>
      </c>
      <c r="C2170">
        <v>-9</v>
      </c>
    </row>
    <row r="2171" spans="1:3" x14ac:dyDescent="0.25">
      <c r="A2171" t="s">
        <v>2753</v>
      </c>
      <c r="B2171" s="44">
        <v>2281.0909999999999</v>
      </c>
      <c r="C2171">
        <v>-9</v>
      </c>
    </row>
    <row r="2172" spans="1:3" x14ac:dyDescent="0.25">
      <c r="A2172" t="s">
        <v>2754</v>
      </c>
      <c r="B2172" s="44">
        <v>2281.0909999999999</v>
      </c>
      <c r="C2172">
        <v>-10</v>
      </c>
    </row>
    <row r="2173" spans="1:3" x14ac:dyDescent="0.25">
      <c r="A2173" t="s">
        <v>2755</v>
      </c>
      <c r="B2173" s="44">
        <v>2281.0909999999999</v>
      </c>
      <c r="C2173">
        <v>-9</v>
      </c>
    </row>
    <row r="2174" spans="1:3" x14ac:dyDescent="0.25">
      <c r="A2174" t="s">
        <v>2756</v>
      </c>
      <c r="B2174" s="44">
        <v>2379.1800000000003</v>
      </c>
      <c r="C2174">
        <v>-10</v>
      </c>
    </row>
    <row r="2175" spans="1:3" x14ac:dyDescent="0.25">
      <c r="A2175" t="s">
        <v>2757</v>
      </c>
      <c r="B2175" s="44">
        <v>2379.1800000000003</v>
      </c>
      <c r="C2175">
        <v>-10</v>
      </c>
    </row>
    <row r="2176" spans="1:3" x14ac:dyDescent="0.25">
      <c r="A2176" t="s">
        <v>2758</v>
      </c>
      <c r="B2176" s="44">
        <v>1988.9109999999998</v>
      </c>
      <c r="C2176">
        <v>-8</v>
      </c>
    </row>
    <row r="2177" spans="1:3" x14ac:dyDescent="0.25">
      <c r="A2177" t="s">
        <v>2759</v>
      </c>
      <c r="B2177" s="44">
        <v>2185.0889999999999</v>
      </c>
      <c r="C2177">
        <v>-9</v>
      </c>
    </row>
    <row r="2178" spans="1:3" x14ac:dyDescent="0.25">
      <c r="A2178" t="s">
        <v>2760</v>
      </c>
      <c r="B2178" s="44">
        <v>2790.319</v>
      </c>
      <c r="C2178">
        <v>-10</v>
      </c>
    </row>
    <row r="2179" spans="1:3" x14ac:dyDescent="0.25">
      <c r="A2179" t="s">
        <v>2761</v>
      </c>
      <c r="B2179" s="44">
        <v>2281.0909999999999</v>
      </c>
      <c r="C2179">
        <v>-10</v>
      </c>
    </row>
    <row r="2180" spans="1:3" x14ac:dyDescent="0.25">
      <c r="A2180" t="s">
        <v>2762</v>
      </c>
      <c r="B2180" s="44">
        <v>2281.0909999999999</v>
      </c>
      <c r="C2180">
        <v>-10</v>
      </c>
    </row>
    <row r="2181" spans="1:3" x14ac:dyDescent="0.25">
      <c r="A2181" t="s">
        <v>2763</v>
      </c>
      <c r="B2181" s="44">
        <v>2379.1800000000003</v>
      </c>
      <c r="C2181">
        <v>-10</v>
      </c>
    </row>
    <row r="2182" spans="1:3" x14ac:dyDescent="0.25">
      <c r="A2182" t="s">
        <v>2764</v>
      </c>
      <c r="B2182" s="44">
        <v>2185.0889999999999</v>
      </c>
      <c r="C2182">
        <v>-9</v>
      </c>
    </row>
    <row r="2183" spans="1:3" x14ac:dyDescent="0.25">
      <c r="A2183" t="s">
        <v>2765</v>
      </c>
      <c r="B2183" s="44">
        <v>2281.0909999999999</v>
      </c>
      <c r="C2183">
        <v>-9</v>
      </c>
    </row>
    <row r="2184" spans="1:3" x14ac:dyDescent="0.25">
      <c r="A2184" t="s">
        <v>2766</v>
      </c>
      <c r="B2184" s="44">
        <v>2379.1800000000003</v>
      </c>
      <c r="C2184">
        <v>-10</v>
      </c>
    </row>
    <row r="2185" spans="1:3" x14ac:dyDescent="0.25">
      <c r="A2185" t="s">
        <v>2767</v>
      </c>
      <c r="B2185" s="44">
        <v>1988.9109999999998</v>
      </c>
      <c r="C2185">
        <v>-8</v>
      </c>
    </row>
    <row r="2186" spans="1:3" x14ac:dyDescent="0.25">
      <c r="A2186" t="s">
        <v>2768</v>
      </c>
      <c r="B2186" s="44">
        <v>2281.0909999999999</v>
      </c>
      <c r="C2186">
        <v>-10</v>
      </c>
    </row>
    <row r="2187" spans="1:3" x14ac:dyDescent="0.25">
      <c r="A2187" t="s">
        <v>2769</v>
      </c>
      <c r="B2187" s="44">
        <v>2790.319</v>
      </c>
      <c r="C2187">
        <v>-11</v>
      </c>
    </row>
    <row r="2188" spans="1:3" x14ac:dyDescent="0.25">
      <c r="A2188" t="s">
        <v>2770</v>
      </c>
      <c r="B2188" s="44">
        <v>1988.9109999999998</v>
      </c>
      <c r="C2188">
        <v>-8</v>
      </c>
    </row>
    <row r="2189" spans="1:3" x14ac:dyDescent="0.25">
      <c r="A2189" t="s">
        <v>2771</v>
      </c>
      <c r="B2189" s="44">
        <v>2281.0909999999999</v>
      </c>
      <c r="C2189">
        <v>-9</v>
      </c>
    </row>
    <row r="2190" spans="1:3" x14ac:dyDescent="0.25">
      <c r="A2190" t="s">
        <v>2772</v>
      </c>
      <c r="B2190" s="44">
        <v>2087</v>
      </c>
      <c r="C2190">
        <v>-8</v>
      </c>
    </row>
    <row r="2191" spans="1:3" x14ac:dyDescent="0.25">
      <c r="A2191" t="s">
        <v>2773</v>
      </c>
      <c r="B2191" s="44">
        <v>1988.9109999999998</v>
      </c>
      <c r="C2191">
        <v>-8</v>
      </c>
    </row>
    <row r="2192" spans="1:3" x14ac:dyDescent="0.25">
      <c r="A2192" t="s">
        <v>2774</v>
      </c>
      <c r="B2192" s="44">
        <v>2379.1800000000003</v>
      </c>
      <c r="C2192">
        <v>-10</v>
      </c>
    </row>
    <row r="2193" spans="1:3" x14ac:dyDescent="0.25">
      <c r="A2193" t="s">
        <v>2775</v>
      </c>
      <c r="B2193" s="44">
        <v>1988.9109999999998</v>
      </c>
      <c r="C2193">
        <v>-8</v>
      </c>
    </row>
    <row r="2194" spans="1:3" x14ac:dyDescent="0.25">
      <c r="A2194" t="s">
        <v>2776</v>
      </c>
      <c r="B2194" s="44">
        <v>1988.9109999999998</v>
      </c>
      <c r="C2194">
        <v>-8</v>
      </c>
    </row>
    <row r="2195" spans="1:3" x14ac:dyDescent="0.25">
      <c r="A2195" t="s">
        <v>2777</v>
      </c>
      <c r="B2195" s="44">
        <v>1988.9109999999998</v>
      </c>
      <c r="C2195">
        <v>-8</v>
      </c>
    </row>
    <row r="2196" spans="1:3" x14ac:dyDescent="0.25">
      <c r="A2196" t="s">
        <v>2778</v>
      </c>
      <c r="B2196" s="44">
        <v>1988.9109999999998</v>
      </c>
      <c r="C2196">
        <v>-8</v>
      </c>
    </row>
    <row r="2197" spans="1:3" x14ac:dyDescent="0.25">
      <c r="A2197" t="s">
        <v>2779</v>
      </c>
      <c r="B2197" s="44">
        <v>1988.9109999999998</v>
      </c>
      <c r="C2197">
        <v>-8</v>
      </c>
    </row>
    <row r="2198" spans="1:3" x14ac:dyDescent="0.25">
      <c r="A2198" t="s">
        <v>2780</v>
      </c>
      <c r="B2198" s="44">
        <v>1988.9109999999998</v>
      </c>
      <c r="C2198">
        <v>-8</v>
      </c>
    </row>
    <row r="2199" spans="1:3" x14ac:dyDescent="0.25">
      <c r="A2199" t="s">
        <v>2781</v>
      </c>
      <c r="B2199" s="44">
        <v>2087</v>
      </c>
      <c r="C2199">
        <v>-9</v>
      </c>
    </row>
    <row r="2200" spans="1:3" x14ac:dyDescent="0.25">
      <c r="A2200" t="s">
        <v>2782</v>
      </c>
      <c r="B2200" s="44">
        <v>1988.9109999999998</v>
      </c>
      <c r="C2200">
        <v>-8</v>
      </c>
    </row>
    <row r="2201" spans="1:3" x14ac:dyDescent="0.25">
      <c r="A2201" t="s">
        <v>2783</v>
      </c>
      <c r="B2201" s="44">
        <v>2087</v>
      </c>
      <c r="C2201">
        <v>-8</v>
      </c>
    </row>
    <row r="2202" spans="1:3" x14ac:dyDescent="0.25">
      <c r="A2202" t="s">
        <v>2784</v>
      </c>
      <c r="B2202" s="44">
        <v>1892.9090000000001</v>
      </c>
      <c r="C2202">
        <v>-8</v>
      </c>
    </row>
    <row r="2203" spans="1:3" x14ac:dyDescent="0.25">
      <c r="A2203" t="s">
        <v>2785</v>
      </c>
      <c r="B2203" s="44">
        <v>1988.9109999999998</v>
      </c>
      <c r="C2203">
        <v>-8</v>
      </c>
    </row>
    <row r="2204" spans="1:3" x14ac:dyDescent="0.25">
      <c r="A2204" t="s">
        <v>2786</v>
      </c>
      <c r="B2204" s="44">
        <v>2087</v>
      </c>
      <c r="C2204">
        <v>-8</v>
      </c>
    </row>
    <row r="2205" spans="1:3" x14ac:dyDescent="0.25">
      <c r="A2205" t="s">
        <v>2787</v>
      </c>
      <c r="B2205" s="44">
        <v>2087</v>
      </c>
      <c r="C2205">
        <v>-9</v>
      </c>
    </row>
    <row r="2206" spans="1:3" x14ac:dyDescent="0.25">
      <c r="A2206" t="s">
        <v>2788</v>
      </c>
      <c r="B2206" s="44">
        <v>2087</v>
      </c>
      <c r="C2206">
        <v>-8</v>
      </c>
    </row>
    <row r="2207" spans="1:3" x14ac:dyDescent="0.25">
      <c r="A2207" t="s">
        <v>2789</v>
      </c>
      <c r="B2207" s="44">
        <v>1988.9109999999998</v>
      </c>
      <c r="C2207">
        <v>-8</v>
      </c>
    </row>
    <row r="2208" spans="1:3" x14ac:dyDescent="0.25">
      <c r="A2208" t="s">
        <v>2790</v>
      </c>
      <c r="B2208" s="44">
        <v>2087</v>
      </c>
      <c r="C2208">
        <v>-8</v>
      </c>
    </row>
    <row r="2209" spans="1:3" x14ac:dyDescent="0.25">
      <c r="A2209" t="s">
        <v>2791</v>
      </c>
      <c r="B2209" s="44">
        <v>1988.9109999999998</v>
      </c>
      <c r="C2209">
        <v>-8</v>
      </c>
    </row>
    <row r="2210" spans="1:3" x14ac:dyDescent="0.25">
      <c r="A2210" t="s">
        <v>2792</v>
      </c>
      <c r="B2210" s="44">
        <v>1988.9109999999998</v>
      </c>
      <c r="C2210">
        <v>-8</v>
      </c>
    </row>
    <row r="2211" spans="1:3" x14ac:dyDescent="0.25">
      <c r="A2211" t="s">
        <v>2793</v>
      </c>
      <c r="B2211" s="44">
        <v>2087</v>
      </c>
      <c r="C2211">
        <v>-8</v>
      </c>
    </row>
    <row r="2212" spans="1:3" x14ac:dyDescent="0.25">
      <c r="A2212" t="s">
        <v>2794</v>
      </c>
      <c r="B2212" s="44">
        <v>2087</v>
      </c>
      <c r="C2212">
        <v>-8</v>
      </c>
    </row>
    <row r="2213" spans="1:3" x14ac:dyDescent="0.25">
      <c r="A2213" t="s">
        <v>2795</v>
      </c>
      <c r="B2213" s="44">
        <v>2087</v>
      </c>
      <c r="C2213">
        <v>-8</v>
      </c>
    </row>
    <row r="2214" spans="1:3" x14ac:dyDescent="0.25">
      <c r="A2214" t="s">
        <v>2796</v>
      </c>
      <c r="B2214" s="44">
        <v>2087</v>
      </c>
      <c r="C2214">
        <v>-8</v>
      </c>
    </row>
    <row r="2215" spans="1:3" x14ac:dyDescent="0.25">
      <c r="A2215" t="s">
        <v>2797</v>
      </c>
      <c r="B2215" s="44">
        <v>1988.9109999999998</v>
      </c>
      <c r="C2215">
        <v>-8</v>
      </c>
    </row>
    <row r="2216" spans="1:3" x14ac:dyDescent="0.25">
      <c r="A2216" t="s">
        <v>2798</v>
      </c>
      <c r="B2216" s="44">
        <v>2087</v>
      </c>
      <c r="C2216">
        <v>-8</v>
      </c>
    </row>
    <row r="2217" spans="1:3" x14ac:dyDescent="0.25">
      <c r="A2217" t="s">
        <v>2799</v>
      </c>
      <c r="B2217" s="44">
        <v>2087</v>
      </c>
      <c r="C2217">
        <v>-8</v>
      </c>
    </row>
    <row r="2218" spans="1:3" x14ac:dyDescent="0.25">
      <c r="A2218" t="s">
        <v>2800</v>
      </c>
      <c r="B2218" s="44">
        <v>2087</v>
      </c>
      <c r="C2218">
        <v>-8</v>
      </c>
    </row>
    <row r="2219" spans="1:3" x14ac:dyDescent="0.25">
      <c r="A2219" t="s">
        <v>2775</v>
      </c>
      <c r="B2219" s="44">
        <v>1892.9090000000001</v>
      </c>
      <c r="C2219">
        <v>-7</v>
      </c>
    </row>
    <row r="2220" spans="1:3" x14ac:dyDescent="0.25">
      <c r="A2220" t="s">
        <v>2801</v>
      </c>
      <c r="B2220" s="44">
        <v>2087</v>
      </c>
      <c r="C2220">
        <v>-8</v>
      </c>
    </row>
    <row r="2221" spans="1:3" x14ac:dyDescent="0.25">
      <c r="A2221" t="s">
        <v>2802</v>
      </c>
      <c r="B2221" s="44">
        <v>1988.9109999999998</v>
      </c>
      <c r="C2221">
        <v>-8</v>
      </c>
    </row>
    <row r="2222" spans="1:3" x14ac:dyDescent="0.25">
      <c r="A2222" t="s">
        <v>2798</v>
      </c>
      <c r="B2222" s="44">
        <v>1892.9090000000001</v>
      </c>
      <c r="C2222">
        <v>-7</v>
      </c>
    </row>
    <row r="2223" spans="1:3" x14ac:dyDescent="0.25">
      <c r="A2223" t="s">
        <v>2803</v>
      </c>
      <c r="B2223" s="44">
        <v>2185.0889999999999</v>
      </c>
      <c r="C2223">
        <v>-9</v>
      </c>
    </row>
    <row r="2224" spans="1:3" x14ac:dyDescent="0.25">
      <c r="A2224" t="s">
        <v>2804</v>
      </c>
      <c r="B2224" s="44">
        <v>2087</v>
      </c>
      <c r="C2224">
        <v>-8</v>
      </c>
    </row>
    <row r="2225" spans="1:3" x14ac:dyDescent="0.25">
      <c r="A2225" t="s">
        <v>2805</v>
      </c>
      <c r="B2225" s="44">
        <v>2087</v>
      </c>
      <c r="C2225">
        <v>-8</v>
      </c>
    </row>
    <row r="2226" spans="1:3" x14ac:dyDescent="0.25">
      <c r="A2226" t="s">
        <v>2806</v>
      </c>
      <c r="B2226" s="44">
        <v>2087</v>
      </c>
      <c r="C2226">
        <v>-8</v>
      </c>
    </row>
    <row r="2227" spans="1:3" x14ac:dyDescent="0.25">
      <c r="A2227" t="s">
        <v>2807</v>
      </c>
      <c r="B2227" s="44">
        <v>2087</v>
      </c>
      <c r="C2227">
        <v>-8</v>
      </c>
    </row>
    <row r="2228" spans="1:3" x14ac:dyDescent="0.25">
      <c r="A2228" t="s">
        <v>2808</v>
      </c>
      <c r="B2228" s="44">
        <v>2087</v>
      </c>
      <c r="C2228">
        <v>-8</v>
      </c>
    </row>
    <row r="2229" spans="1:3" x14ac:dyDescent="0.25">
      <c r="A2229" t="s">
        <v>2809</v>
      </c>
      <c r="B2229" s="44">
        <v>2087</v>
      </c>
      <c r="C2229">
        <v>-8</v>
      </c>
    </row>
    <row r="2230" spans="1:3" x14ac:dyDescent="0.25">
      <c r="A2230" t="s">
        <v>2810</v>
      </c>
      <c r="B2230" s="44">
        <v>2087</v>
      </c>
      <c r="C2230">
        <v>-8</v>
      </c>
    </row>
    <row r="2231" spans="1:3" x14ac:dyDescent="0.25">
      <c r="A2231" t="s">
        <v>2811</v>
      </c>
      <c r="B2231" s="44">
        <v>2087</v>
      </c>
      <c r="C2231">
        <v>-8</v>
      </c>
    </row>
    <row r="2232" spans="1:3" x14ac:dyDescent="0.25">
      <c r="A2232" t="s">
        <v>2812</v>
      </c>
      <c r="B2232" s="44">
        <v>1988.9109999999998</v>
      </c>
      <c r="C2232">
        <v>-8</v>
      </c>
    </row>
    <row r="2233" spans="1:3" x14ac:dyDescent="0.25">
      <c r="A2233" t="s">
        <v>2813</v>
      </c>
      <c r="B2233" s="44">
        <v>2087</v>
      </c>
      <c r="C2233">
        <v>-8</v>
      </c>
    </row>
    <row r="2234" spans="1:3" x14ac:dyDescent="0.25">
      <c r="A2234" t="s">
        <v>2814</v>
      </c>
      <c r="B2234" s="44">
        <v>1988.9109999999998</v>
      </c>
      <c r="C2234">
        <v>-8</v>
      </c>
    </row>
    <row r="2235" spans="1:3" x14ac:dyDescent="0.25">
      <c r="A2235" t="s">
        <v>2815</v>
      </c>
      <c r="B2235" s="44">
        <v>2087</v>
      </c>
      <c r="C2235">
        <v>-8</v>
      </c>
    </row>
    <row r="2236" spans="1:3" x14ac:dyDescent="0.25">
      <c r="A2236" t="s">
        <v>2816</v>
      </c>
      <c r="B2236" s="44">
        <v>2087</v>
      </c>
      <c r="C2236">
        <v>-8</v>
      </c>
    </row>
    <row r="2237" spans="1:3" x14ac:dyDescent="0.25">
      <c r="A2237" t="s">
        <v>2817</v>
      </c>
      <c r="B2237" s="44">
        <v>2087</v>
      </c>
      <c r="C2237">
        <v>-8</v>
      </c>
    </row>
    <row r="2238" spans="1:3" x14ac:dyDescent="0.25">
      <c r="A2238" t="s">
        <v>2818</v>
      </c>
      <c r="B2238" s="44">
        <v>1892.9090000000001</v>
      </c>
      <c r="C2238">
        <v>-8</v>
      </c>
    </row>
    <row r="2239" spans="1:3" x14ac:dyDescent="0.25">
      <c r="A2239" t="s">
        <v>2819</v>
      </c>
      <c r="B2239" s="44">
        <v>1988.9109999999998</v>
      </c>
      <c r="C2239">
        <v>-8</v>
      </c>
    </row>
    <row r="2240" spans="1:3" x14ac:dyDescent="0.25">
      <c r="A2240" t="s">
        <v>2820</v>
      </c>
      <c r="B2240" s="44">
        <v>1988.9109999999998</v>
      </c>
      <c r="C2240">
        <v>-8</v>
      </c>
    </row>
    <row r="2241" spans="1:3" x14ac:dyDescent="0.25">
      <c r="A2241" t="s">
        <v>2821</v>
      </c>
      <c r="B2241" s="44">
        <v>1892.9090000000001</v>
      </c>
      <c r="C2241">
        <v>-8</v>
      </c>
    </row>
    <row r="2242" spans="1:3" x14ac:dyDescent="0.25">
      <c r="A2242" t="s">
        <v>2822</v>
      </c>
      <c r="B2242" s="44">
        <v>1892.9090000000001</v>
      </c>
      <c r="C2242">
        <v>-8</v>
      </c>
    </row>
    <row r="2243" spans="1:3" x14ac:dyDescent="0.25">
      <c r="A2243" t="s">
        <v>2823</v>
      </c>
      <c r="B2243" s="44">
        <v>2281.0909999999999</v>
      </c>
      <c r="C2243">
        <v>-9</v>
      </c>
    </row>
    <row r="2244" spans="1:3" x14ac:dyDescent="0.25">
      <c r="A2244" t="s">
        <v>2824</v>
      </c>
      <c r="B2244" s="44">
        <v>2087</v>
      </c>
      <c r="C2244">
        <v>-8</v>
      </c>
    </row>
    <row r="2245" spans="1:3" x14ac:dyDescent="0.25">
      <c r="A2245" t="s">
        <v>2825</v>
      </c>
      <c r="B2245" s="44">
        <v>2087</v>
      </c>
      <c r="C2245">
        <v>-8</v>
      </c>
    </row>
    <row r="2246" spans="1:3" x14ac:dyDescent="0.25">
      <c r="A2246" t="s">
        <v>2826</v>
      </c>
      <c r="B2246" s="44">
        <v>2087</v>
      </c>
      <c r="C2246">
        <v>-8</v>
      </c>
    </row>
    <row r="2247" spans="1:3" x14ac:dyDescent="0.25">
      <c r="A2247" t="s">
        <v>2827</v>
      </c>
      <c r="B2247" s="44">
        <v>2087</v>
      </c>
      <c r="C2247">
        <v>-8</v>
      </c>
    </row>
    <row r="2248" spans="1:3" x14ac:dyDescent="0.25">
      <c r="A2248" t="s">
        <v>2828</v>
      </c>
      <c r="B2248" s="44">
        <v>1988.9109999999998</v>
      </c>
      <c r="C2248">
        <v>-8</v>
      </c>
    </row>
    <row r="2249" spans="1:3" x14ac:dyDescent="0.25">
      <c r="A2249" t="s">
        <v>2829</v>
      </c>
      <c r="B2249" s="44">
        <v>2087</v>
      </c>
      <c r="C2249">
        <v>-8</v>
      </c>
    </row>
    <row r="2250" spans="1:3" x14ac:dyDescent="0.25">
      <c r="A2250" t="s">
        <v>2830</v>
      </c>
      <c r="B2250" s="44">
        <v>2087</v>
      </c>
      <c r="C2250">
        <v>-8</v>
      </c>
    </row>
    <row r="2251" spans="1:3" x14ac:dyDescent="0.25">
      <c r="A2251" t="s">
        <v>2831</v>
      </c>
      <c r="B2251" s="44">
        <v>2087</v>
      </c>
      <c r="C2251">
        <v>-8</v>
      </c>
    </row>
    <row r="2252" spans="1:3" x14ac:dyDescent="0.25">
      <c r="A2252" t="s">
        <v>2832</v>
      </c>
      <c r="B2252" s="44">
        <v>2087</v>
      </c>
      <c r="C2252">
        <v>-8</v>
      </c>
    </row>
    <row r="2253" spans="1:3" x14ac:dyDescent="0.25">
      <c r="A2253" t="s">
        <v>2833</v>
      </c>
      <c r="B2253" s="44">
        <v>2087</v>
      </c>
      <c r="C2253">
        <v>-8</v>
      </c>
    </row>
    <row r="2254" spans="1:3" x14ac:dyDescent="0.25">
      <c r="A2254" t="s">
        <v>2834</v>
      </c>
      <c r="B2254" s="44">
        <v>2087</v>
      </c>
      <c r="C2254">
        <v>-8</v>
      </c>
    </row>
    <row r="2255" spans="1:3" x14ac:dyDescent="0.25">
      <c r="A2255" t="s">
        <v>2835</v>
      </c>
      <c r="B2255" s="44">
        <v>2087</v>
      </c>
      <c r="C2255">
        <v>-8</v>
      </c>
    </row>
    <row r="2256" spans="1:3" x14ac:dyDescent="0.25">
      <c r="A2256" t="s">
        <v>2836</v>
      </c>
      <c r="B2256" s="44">
        <v>1988.9109999999998</v>
      </c>
      <c r="C2256">
        <v>-8</v>
      </c>
    </row>
    <row r="2257" spans="1:3" x14ac:dyDescent="0.25">
      <c r="A2257" t="s">
        <v>2837</v>
      </c>
      <c r="B2257" s="44">
        <v>2281.0909999999999</v>
      </c>
      <c r="C2257">
        <v>-9</v>
      </c>
    </row>
    <row r="2258" spans="1:3" x14ac:dyDescent="0.25">
      <c r="A2258" t="s">
        <v>2838</v>
      </c>
      <c r="B2258" s="44">
        <v>2087</v>
      </c>
      <c r="C2258">
        <v>-8</v>
      </c>
    </row>
    <row r="2259" spans="1:3" x14ac:dyDescent="0.25">
      <c r="A2259" t="s">
        <v>2839</v>
      </c>
      <c r="B2259" s="44">
        <v>1892.9090000000001</v>
      </c>
      <c r="C2259">
        <v>-8</v>
      </c>
    </row>
    <row r="2260" spans="1:3" x14ac:dyDescent="0.25">
      <c r="A2260" t="s">
        <v>2840</v>
      </c>
      <c r="B2260" s="44">
        <v>2087</v>
      </c>
      <c r="C2260">
        <v>-8</v>
      </c>
    </row>
    <row r="2261" spans="1:3" x14ac:dyDescent="0.25">
      <c r="A2261" t="s">
        <v>2841</v>
      </c>
      <c r="B2261" s="44">
        <v>1988.9109999999998</v>
      </c>
      <c r="C2261">
        <v>-8</v>
      </c>
    </row>
    <row r="2262" spans="1:3" x14ac:dyDescent="0.25">
      <c r="A2262" t="s">
        <v>2842</v>
      </c>
      <c r="B2262" s="44">
        <v>2281.0909999999999</v>
      </c>
      <c r="C2262">
        <v>-10</v>
      </c>
    </row>
    <row r="2263" spans="1:3" x14ac:dyDescent="0.25">
      <c r="A2263" t="s">
        <v>2843</v>
      </c>
      <c r="B2263" s="44">
        <v>2087</v>
      </c>
      <c r="C2263">
        <v>-8</v>
      </c>
    </row>
    <row r="2264" spans="1:3" x14ac:dyDescent="0.25">
      <c r="A2264" t="s">
        <v>2844</v>
      </c>
      <c r="B2264" s="44">
        <v>2281.0909999999999</v>
      </c>
      <c r="C2264">
        <v>-9</v>
      </c>
    </row>
    <row r="2265" spans="1:3" x14ac:dyDescent="0.25">
      <c r="A2265" t="s">
        <v>2845</v>
      </c>
      <c r="B2265" s="44">
        <v>2281.0909999999999</v>
      </c>
      <c r="C2265">
        <v>-9</v>
      </c>
    </row>
    <row r="2266" spans="1:3" x14ac:dyDescent="0.25">
      <c r="A2266" t="s">
        <v>2846</v>
      </c>
      <c r="B2266" s="44">
        <v>1988.9109999999998</v>
      </c>
      <c r="C2266">
        <v>-8</v>
      </c>
    </row>
    <row r="2267" spans="1:3" x14ac:dyDescent="0.25">
      <c r="A2267" t="s">
        <v>2847</v>
      </c>
      <c r="B2267" s="44">
        <v>1892.9090000000001</v>
      </c>
      <c r="C2267">
        <v>-7</v>
      </c>
    </row>
    <row r="2268" spans="1:3" x14ac:dyDescent="0.25">
      <c r="A2268" t="s">
        <v>2848</v>
      </c>
      <c r="B2268" s="44">
        <v>2185.0889999999999</v>
      </c>
      <c r="C2268">
        <v>-8</v>
      </c>
    </row>
    <row r="2269" spans="1:3" x14ac:dyDescent="0.25">
      <c r="A2269" t="s">
        <v>2849</v>
      </c>
      <c r="B2269" s="44">
        <v>2185.0889999999999</v>
      </c>
      <c r="C2269">
        <v>-8</v>
      </c>
    </row>
    <row r="2270" spans="1:3" x14ac:dyDescent="0.25">
      <c r="A2270" t="s">
        <v>2850</v>
      </c>
      <c r="B2270" s="44">
        <v>2087</v>
      </c>
      <c r="C2270">
        <v>-8</v>
      </c>
    </row>
    <row r="2271" spans="1:3" x14ac:dyDescent="0.25">
      <c r="A2271" t="s">
        <v>2851</v>
      </c>
      <c r="B2271" s="44">
        <v>1988.9109999999998</v>
      </c>
      <c r="C2271">
        <v>-8</v>
      </c>
    </row>
    <row r="2272" spans="1:3" x14ac:dyDescent="0.25">
      <c r="A2272" t="s">
        <v>2852</v>
      </c>
      <c r="B2272" s="44">
        <v>2548.2270000000003</v>
      </c>
      <c r="C2272">
        <v>-10</v>
      </c>
    </row>
    <row r="2273" spans="1:3" x14ac:dyDescent="0.25">
      <c r="A2273" t="s">
        <v>2853</v>
      </c>
      <c r="B2273" s="44">
        <v>1892.9090000000001</v>
      </c>
      <c r="C2273">
        <v>-7</v>
      </c>
    </row>
    <row r="2274" spans="1:3" x14ac:dyDescent="0.25">
      <c r="A2274" t="s">
        <v>2854</v>
      </c>
      <c r="B2274" s="44">
        <v>1988.9109999999998</v>
      </c>
      <c r="C2274">
        <v>-8</v>
      </c>
    </row>
    <row r="2275" spans="1:3" x14ac:dyDescent="0.25">
      <c r="A2275" t="s">
        <v>2855</v>
      </c>
      <c r="B2275" s="44">
        <v>2281.0909999999999</v>
      </c>
      <c r="C2275">
        <v>-10</v>
      </c>
    </row>
    <row r="2276" spans="1:3" x14ac:dyDescent="0.25">
      <c r="A2276" t="s">
        <v>2856</v>
      </c>
      <c r="B2276" s="44">
        <v>2548.2270000000003</v>
      </c>
      <c r="C2276">
        <v>-10</v>
      </c>
    </row>
    <row r="2277" spans="1:3" x14ac:dyDescent="0.25">
      <c r="A2277" t="s">
        <v>2857</v>
      </c>
      <c r="B2277" s="44">
        <v>2087</v>
      </c>
      <c r="C2277">
        <v>-8</v>
      </c>
    </row>
    <row r="2278" spans="1:3" x14ac:dyDescent="0.25">
      <c r="A2278" t="s">
        <v>2858</v>
      </c>
      <c r="B2278" s="44">
        <v>2379.1800000000003</v>
      </c>
      <c r="C2278">
        <v>-10</v>
      </c>
    </row>
    <row r="2279" spans="1:3" x14ac:dyDescent="0.25">
      <c r="A2279" t="s">
        <v>2859</v>
      </c>
      <c r="B2279" s="44">
        <v>2281.0909999999999</v>
      </c>
      <c r="C2279">
        <v>-9</v>
      </c>
    </row>
    <row r="2280" spans="1:3" x14ac:dyDescent="0.25">
      <c r="A2280" t="s">
        <v>2860</v>
      </c>
      <c r="B2280" s="44">
        <v>2185.0889999999999</v>
      </c>
      <c r="C2280">
        <v>-9</v>
      </c>
    </row>
    <row r="2281" spans="1:3" x14ac:dyDescent="0.25">
      <c r="A2281" t="s">
        <v>2861</v>
      </c>
      <c r="B2281" s="44">
        <v>2185.0889999999999</v>
      </c>
      <c r="C2281">
        <v>-9</v>
      </c>
    </row>
    <row r="2282" spans="1:3" x14ac:dyDescent="0.25">
      <c r="A2282" t="s">
        <v>2862</v>
      </c>
      <c r="B2282" s="44">
        <v>2379.1800000000003</v>
      </c>
      <c r="C2282">
        <v>-10</v>
      </c>
    </row>
    <row r="2283" spans="1:3" x14ac:dyDescent="0.25">
      <c r="A2283" t="s">
        <v>2863</v>
      </c>
      <c r="B2283" s="44">
        <v>2379.1800000000003</v>
      </c>
      <c r="C2283">
        <v>-10</v>
      </c>
    </row>
    <row r="2284" spans="1:3" x14ac:dyDescent="0.25">
      <c r="A2284" t="s">
        <v>2864</v>
      </c>
      <c r="B2284" s="44">
        <v>2281.0909999999999</v>
      </c>
      <c r="C2284">
        <v>-10</v>
      </c>
    </row>
    <row r="2285" spans="1:3" x14ac:dyDescent="0.25">
      <c r="A2285" t="s">
        <v>2865</v>
      </c>
      <c r="B2285" s="44">
        <v>2281.0909999999999</v>
      </c>
      <c r="C2285">
        <v>-9</v>
      </c>
    </row>
    <row r="2286" spans="1:3" x14ac:dyDescent="0.25">
      <c r="A2286" t="s">
        <v>2866</v>
      </c>
      <c r="B2286" s="44">
        <v>2281.0909999999999</v>
      </c>
      <c r="C2286">
        <v>-10</v>
      </c>
    </row>
    <row r="2287" spans="1:3" x14ac:dyDescent="0.25">
      <c r="A2287" t="s">
        <v>2867</v>
      </c>
      <c r="B2287" s="44">
        <v>2281.0909999999999</v>
      </c>
      <c r="C2287">
        <v>-10</v>
      </c>
    </row>
    <row r="2288" spans="1:3" x14ac:dyDescent="0.25">
      <c r="A2288" t="s">
        <v>2868</v>
      </c>
      <c r="B2288" s="44">
        <v>2379.1800000000003</v>
      </c>
      <c r="C2288">
        <v>-10</v>
      </c>
    </row>
    <row r="2289" spans="1:3" x14ac:dyDescent="0.25">
      <c r="A2289" t="s">
        <v>2869</v>
      </c>
      <c r="B2289" s="44">
        <v>2281.0909999999999</v>
      </c>
      <c r="C2289">
        <v>-10</v>
      </c>
    </row>
    <row r="2290" spans="1:3" x14ac:dyDescent="0.25">
      <c r="A2290" t="s">
        <v>2870</v>
      </c>
      <c r="B2290" s="44">
        <v>2379.1800000000003</v>
      </c>
      <c r="C2290">
        <v>-10</v>
      </c>
    </row>
    <row r="2291" spans="1:3" x14ac:dyDescent="0.25">
      <c r="A2291" t="s">
        <v>2871</v>
      </c>
      <c r="B2291" s="44">
        <v>2379.1800000000003</v>
      </c>
      <c r="C2291">
        <v>-10</v>
      </c>
    </row>
    <row r="2292" spans="1:3" x14ac:dyDescent="0.25">
      <c r="A2292" t="s">
        <v>2872</v>
      </c>
      <c r="B2292" s="44">
        <v>2281.0909999999999</v>
      </c>
      <c r="C2292">
        <v>-10</v>
      </c>
    </row>
    <row r="2293" spans="1:3" x14ac:dyDescent="0.25">
      <c r="A2293" t="s">
        <v>2873</v>
      </c>
      <c r="B2293" s="44">
        <v>2281.0909999999999</v>
      </c>
      <c r="C2293">
        <v>-10</v>
      </c>
    </row>
    <row r="2294" spans="1:3" x14ac:dyDescent="0.25">
      <c r="A2294" t="s">
        <v>2874</v>
      </c>
      <c r="B2294" s="44">
        <v>2185.0889999999999</v>
      </c>
      <c r="C2294">
        <v>-9</v>
      </c>
    </row>
    <row r="2295" spans="1:3" x14ac:dyDescent="0.25">
      <c r="A2295" t="s">
        <v>2875</v>
      </c>
      <c r="B2295" s="44">
        <v>2281.0909999999999</v>
      </c>
      <c r="C2295">
        <v>-10</v>
      </c>
    </row>
    <row r="2296" spans="1:3" x14ac:dyDescent="0.25">
      <c r="A2296" t="s">
        <v>2876</v>
      </c>
      <c r="B2296" s="44">
        <v>2379.1800000000003</v>
      </c>
      <c r="C2296">
        <v>-10</v>
      </c>
    </row>
    <row r="2297" spans="1:3" x14ac:dyDescent="0.25">
      <c r="A2297" t="s">
        <v>2877</v>
      </c>
      <c r="B2297" s="44">
        <v>2185.0889999999999</v>
      </c>
      <c r="C2297">
        <v>-9</v>
      </c>
    </row>
    <row r="2298" spans="1:3" x14ac:dyDescent="0.25">
      <c r="A2298" t="s">
        <v>2878</v>
      </c>
      <c r="B2298" s="44">
        <v>2379.1800000000003</v>
      </c>
      <c r="C2298">
        <v>-10</v>
      </c>
    </row>
    <row r="2299" spans="1:3" x14ac:dyDescent="0.25">
      <c r="A2299" t="s">
        <v>2879</v>
      </c>
      <c r="B2299" s="44">
        <v>2087</v>
      </c>
      <c r="C2299">
        <v>-9</v>
      </c>
    </row>
    <row r="2300" spans="1:3" x14ac:dyDescent="0.25">
      <c r="A2300" t="s">
        <v>2880</v>
      </c>
      <c r="B2300" s="44">
        <v>1892.9090000000001</v>
      </c>
      <c r="C2300">
        <v>-7</v>
      </c>
    </row>
    <row r="2301" spans="1:3" x14ac:dyDescent="0.25">
      <c r="A2301" t="s">
        <v>2881</v>
      </c>
      <c r="B2301" s="44">
        <v>2185.0889999999999</v>
      </c>
      <c r="C2301">
        <v>-8</v>
      </c>
    </row>
    <row r="2302" spans="1:3" x14ac:dyDescent="0.25">
      <c r="A2302" t="s">
        <v>2882</v>
      </c>
      <c r="B2302" s="44">
        <v>2087</v>
      </c>
      <c r="C2302">
        <v>-8</v>
      </c>
    </row>
    <row r="2303" spans="1:3" x14ac:dyDescent="0.25">
      <c r="A2303" t="s">
        <v>2883</v>
      </c>
      <c r="B2303" s="44">
        <v>2087</v>
      </c>
      <c r="C2303">
        <v>-8</v>
      </c>
    </row>
    <row r="2304" spans="1:3" x14ac:dyDescent="0.25">
      <c r="A2304" t="s">
        <v>2884</v>
      </c>
      <c r="B2304" s="44">
        <v>2281.0909999999999</v>
      </c>
      <c r="C2304">
        <v>-10</v>
      </c>
    </row>
    <row r="2305" spans="1:3" x14ac:dyDescent="0.25">
      <c r="A2305" t="s">
        <v>2885</v>
      </c>
      <c r="B2305" s="44">
        <v>2087</v>
      </c>
      <c r="C2305">
        <v>-8</v>
      </c>
    </row>
    <row r="2306" spans="1:3" x14ac:dyDescent="0.25">
      <c r="A2306" t="s">
        <v>2886</v>
      </c>
      <c r="B2306" s="44">
        <v>2379.1800000000003</v>
      </c>
      <c r="C2306">
        <v>-10</v>
      </c>
    </row>
    <row r="2307" spans="1:3" x14ac:dyDescent="0.25">
      <c r="A2307" t="s">
        <v>2887</v>
      </c>
      <c r="B2307" s="44">
        <v>2185.0889999999999</v>
      </c>
      <c r="C2307">
        <v>-9</v>
      </c>
    </row>
    <row r="2308" spans="1:3" x14ac:dyDescent="0.25">
      <c r="A2308" t="s">
        <v>2888</v>
      </c>
      <c r="B2308" s="44">
        <v>1988.9109999999998</v>
      </c>
      <c r="C2308">
        <v>-9</v>
      </c>
    </row>
    <row r="2309" spans="1:3" x14ac:dyDescent="0.25">
      <c r="A2309" t="s">
        <v>2889</v>
      </c>
      <c r="B2309" s="44">
        <v>1988.9109999999998</v>
      </c>
      <c r="C2309">
        <v>-8</v>
      </c>
    </row>
    <row r="2310" spans="1:3" x14ac:dyDescent="0.25">
      <c r="A2310" t="s">
        <v>2890</v>
      </c>
      <c r="B2310" s="44">
        <v>1988.9109999999998</v>
      </c>
      <c r="C2310">
        <v>-8</v>
      </c>
    </row>
    <row r="2311" spans="1:3" x14ac:dyDescent="0.25">
      <c r="A2311" t="s">
        <v>2891</v>
      </c>
      <c r="B2311" s="44">
        <v>2087</v>
      </c>
      <c r="C2311">
        <v>-8</v>
      </c>
    </row>
    <row r="2312" spans="1:3" x14ac:dyDescent="0.25">
      <c r="A2312" t="s">
        <v>2892</v>
      </c>
      <c r="B2312" s="44">
        <v>2281.0909999999999</v>
      </c>
      <c r="C2312">
        <v>-10</v>
      </c>
    </row>
    <row r="2313" spans="1:3" x14ac:dyDescent="0.25">
      <c r="A2313" t="s">
        <v>2893</v>
      </c>
      <c r="B2313" s="44">
        <v>1988.9109999999998</v>
      </c>
      <c r="C2313">
        <v>-8</v>
      </c>
    </row>
    <row r="2314" spans="1:3" x14ac:dyDescent="0.25">
      <c r="A2314" t="s">
        <v>2894</v>
      </c>
      <c r="B2314" s="44">
        <v>2548.2270000000003</v>
      </c>
      <c r="C2314">
        <v>-11</v>
      </c>
    </row>
    <row r="2315" spans="1:3" x14ac:dyDescent="0.25">
      <c r="A2315" t="s">
        <v>2895</v>
      </c>
      <c r="B2315" s="44">
        <v>1988.9109999999998</v>
      </c>
      <c r="C2315">
        <v>-8</v>
      </c>
    </row>
    <row r="2316" spans="1:3" x14ac:dyDescent="0.25">
      <c r="A2316" t="s">
        <v>2896</v>
      </c>
      <c r="B2316" s="44">
        <v>1988.9109999999998</v>
      </c>
      <c r="C2316">
        <v>-8</v>
      </c>
    </row>
    <row r="2317" spans="1:3" x14ac:dyDescent="0.25">
      <c r="A2317" t="s">
        <v>2897</v>
      </c>
      <c r="B2317" s="44">
        <v>2087</v>
      </c>
      <c r="C2317">
        <v>-8</v>
      </c>
    </row>
    <row r="2318" spans="1:3" x14ac:dyDescent="0.25">
      <c r="A2318" t="s">
        <v>2898</v>
      </c>
      <c r="B2318" s="44">
        <v>1892.9090000000001</v>
      </c>
      <c r="C2318">
        <v>-7</v>
      </c>
    </row>
    <row r="2319" spans="1:3" x14ac:dyDescent="0.25">
      <c r="A2319" t="s">
        <v>2899</v>
      </c>
      <c r="B2319" s="44">
        <v>2087</v>
      </c>
      <c r="C2319">
        <v>-8</v>
      </c>
    </row>
    <row r="2320" spans="1:3" x14ac:dyDescent="0.25">
      <c r="A2320" t="s">
        <v>2900</v>
      </c>
      <c r="B2320" s="44">
        <v>2087</v>
      </c>
      <c r="C2320">
        <v>-8</v>
      </c>
    </row>
    <row r="2321" spans="1:3" x14ac:dyDescent="0.25">
      <c r="A2321" t="s">
        <v>2901</v>
      </c>
      <c r="B2321" s="44">
        <v>1892.9090000000001</v>
      </c>
      <c r="C2321">
        <v>-8</v>
      </c>
    </row>
    <row r="2322" spans="1:3" x14ac:dyDescent="0.25">
      <c r="A2322" t="s">
        <v>2902</v>
      </c>
      <c r="B2322" s="44">
        <v>2379.1800000000003</v>
      </c>
      <c r="C2322">
        <v>-10</v>
      </c>
    </row>
    <row r="2323" spans="1:3" x14ac:dyDescent="0.25">
      <c r="A2323" t="s">
        <v>2903</v>
      </c>
      <c r="B2323" s="44">
        <v>1892.9090000000001</v>
      </c>
      <c r="C2323">
        <v>-7</v>
      </c>
    </row>
    <row r="2324" spans="1:3" x14ac:dyDescent="0.25">
      <c r="A2324" t="s">
        <v>2904</v>
      </c>
      <c r="B2324" s="44">
        <v>2087</v>
      </c>
      <c r="C2324">
        <v>-8</v>
      </c>
    </row>
    <row r="2325" spans="1:3" x14ac:dyDescent="0.25">
      <c r="A2325" t="s">
        <v>2905</v>
      </c>
      <c r="B2325" s="44">
        <v>2087</v>
      </c>
      <c r="C2325">
        <v>-8</v>
      </c>
    </row>
    <row r="2326" spans="1:3" x14ac:dyDescent="0.25">
      <c r="A2326" t="s">
        <v>2906</v>
      </c>
      <c r="B2326" s="44">
        <v>2185.0889999999999</v>
      </c>
      <c r="C2326">
        <v>-9</v>
      </c>
    </row>
    <row r="2327" spans="1:3" x14ac:dyDescent="0.25">
      <c r="A2327" t="s">
        <v>2907</v>
      </c>
      <c r="B2327" s="44">
        <v>2087</v>
      </c>
      <c r="C2327">
        <v>-9</v>
      </c>
    </row>
    <row r="2328" spans="1:3" x14ac:dyDescent="0.25">
      <c r="A2328" t="s">
        <v>2908</v>
      </c>
      <c r="B2328" s="44">
        <v>2379.1800000000003</v>
      </c>
      <c r="C2328">
        <v>-10</v>
      </c>
    </row>
    <row r="2329" spans="1:3" x14ac:dyDescent="0.25">
      <c r="A2329" t="s">
        <v>2909</v>
      </c>
      <c r="B2329" s="44">
        <v>2790.319</v>
      </c>
      <c r="C2329">
        <v>-11</v>
      </c>
    </row>
    <row r="2330" spans="1:3" x14ac:dyDescent="0.25">
      <c r="A2330" t="s">
        <v>2910</v>
      </c>
      <c r="B2330" s="44">
        <v>2281.0909999999999</v>
      </c>
      <c r="C2330">
        <v>-9</v>
      </c>
    </row>
    <row r="2331" spans="1:3" x14ac:dyDescent="0.25">
      <c r="A2331" t="s">
        <v>2910</v>
      </c>
      <c r="B2331" s="44">
        <v>2281.0909999999999</v>
      </c>
      <c r="C2331">
        <v>-9</v>
      </c>
    </row>
    <row r="2332" spans="1:3" x14ac:dyDescent="0.25">
      <c r="A2332" t="s">
        <v>2911</v>
      </c>
      <c r="B2332" s="44">
        <v>2185.0889999999999</v>
      </c>
      <c r="C2332">
        <v>-8</v>
      </c>
    </row>
    <row r="2333" spans="1:3" x14ac:dyDescent="0.25">
      <c r="A2333" t="s">
        <v>2912</v>
      </c>
      <c r="B2333" s="44">
        <v>2087</v>
      </c>
      <c r="C2333">
        <v>-8</v>
      </c>
    </row>
    <row r="2334" spans="1:3" x14ac:dyDescent="0.25">
      <c r="A2334" t="s">
        <v>2913</v>
      </c>
      <c r="B2334" s="44">
        <v>2087</v>
      </c>
      <c r="C2334">
        <v>-8</v>
      </c>
    </row>
    <row r="2335" spans="1:3" x14ac:dyDescent="0.25">
      <c r="A2335" t="s">
        <v>2914</v>
      </c>
      <c r="B2335" s="44">
        <v>2087</v>
      </c>
      <c r="C2335">
        <v>-8</v>
      </c>
    </row>
    <row r="2336" spans="1:3" x14ac:dyDescent="0.25">
      <c r="A2336" t="s">
        <v>2915</v>
      </c>
      <c r="B2336" s="44">
        <v>1892.9090000000001</v>
      </c>
      <c r="C2336">
        <v>-8</v>
      </c>
    </row>
    <row r="2337" spans="1:3" x14ac:dyDescent="0.25">
      <c r="A2337" t="s">
        <v>2916</v>
      </c>
      <c r="B2337" s="44">
        <v>2185.0889999999999</v>
      </c>
      <c r="C2337">
        <v>-9</v>
      </c>
    </row>
    <row r="2338" spans="1:3" x14ac:dyDescent="0.25">
      <c r="A2338" t="s">
        <v>2917</v>
      </c>
      <c r="B2338" s="44">
        <v>2548.2270000000003</v>
      </c>
      <c r="C2338">
        <v>-11</v>
      </c>
    </row>
    <row r="2339" spans="1:3" x14ac:dyDescent="0.25">
      <c r="A2339" t="s">
        <v>2918</v>
      </c>
      <c r="B2339" s="44">
        <v>2379.1800000000003</v>
      </c>
      <c r="C2339">
        <v>-10</v>
      </c>
    </row>
    <row r="2340" spans="1:3" x14ac:dyDescent="0.25">
      <c r="A2340" t="s">
        <v>2919</v>
      </c>
      <c r="B2340" s="44">
        <v>2790.319</v>
      </c>
      <c r="C2340">
        <v>-10</v>
      </c>
    </row>
    <row r="2341" spans="1:3" x14ac:dyDescent="0.25">
      <c r="A2341" t="s">
        <v>2920</v>
      </c>
      <c r="B2341" s="44">
        <v>2548.2270000000003</v>
      </c>
      <c r="C2341">
        <v>-11</v>
      </c>
    </row>
    <row r="2342" spans="1:3" x14ac:dyDescent="0.25">
      <c r="A2342" t="s">
        <v>2921</v>
      </c>
      <c r="B2342" s="44">
        <v>2087</v>
      </c>
      <c r="C2342">
        <v>-8</v>
      </c>
    </row>
    <row r="2343" spans="1:3" x14ac:dyDescent="0.25">
      <c r="A2343" t="s">
        <v>2922</v>
      </c>
      <c r="B2343" s="44">
        <v>2185.0889999999999</v>
      </c>
      <c r="C2343">
        <v>-9</v>
      </c>
    </row>
    <row r="2344" spans="1:3" x14ac:dyDescent="0.25">
      <c r="A2344" t="s">
        <v>2923</v>
      </c>
      <c r="B2344" s="44">
        <v>2281.0909999999999</v>
      </c>
      <c r="C2344">
        <v>-9</v>
      </c>
    </row>
    <row r="2345" spans="1:3" x14ac:dyDescent="0.25">
      <c r="A2345" t="s">
        <v>2924</v>
      </c>
      <c r="B2345" s="44">
        <v>2281.0909999999999</v>
      </c>
      <c r="C2345">
        <v>-10</v>
      </c>
    </row>
    <row r="2346" spans="1:3" x14ac:dyDescent="0.25">
      <c r="A2346" t="s">
        <v>2925</v>
      </c>
      <c r="B2346" s="44">
        <v>2185.0889999999999</v>
      </c>
      <c r="C2346">
        <v>-9</v>
      </c>
    </row>
    <row r="2347" spans="1:3" x14ac:dyDescent="0.25">
      <c r="A2347" t="s">
        <v>2926</v>
      </c>
      <c r="B2347" s="44">
        <v>2548.2270000000003</v>
      </c>
      <c r="C2347">
        <v>-11</v>
      </c>
    </row>
    <row r="2348" spans="1:3" x14ac:dyDescent="0.25">
      <c r="A2348" t="s">
        <v>2927</v>
      </c>
      <c r="B2348" s="44">
        <v>2548.2270000000003</v>
      </c>
      <c r="C2348">
        <v>-10</v>
      </c>
    </row>
    <row r="2349" spans="1:3" x14ac:dyDescent="0.25">
      <c r="A2349" t="s">
        <v>2928</v>
      </c>
      <c r="B2349" s="44">
        <v>2087</v>
      </c>
      <c r="C2349">
        <v>-8</v>
      </c>
    </row>
    <row r="2350" spans="1:3" x14ac:dyDescent="0.25">
      <c r="A2350" t="s">
        <v>2929</v>
      </c>
      <c r="B2350" s="44">
        <v>2185.0889999999999</v>
      </c>
      <c r="C2350">
        <v>-9</v>
      </c>
    </row>
    <row r="2351" spans="1:3" x14ac:dyDescent="0.25">
      <c r="A2351" t="s">
        <v>2930</v>
      </c>
      <c r="B2351" s="44">
        <v>1988.9109999999998</v>
      </c>
      <c r="C2351">
        <v>-8</v>
      </c>
    </row>
    <row r="2352" spans="1:3" x14ac:dyDescent="0.25">
      <c r="A2352" t="s">
        <v>2931</v>
      </c>
      <c r="B2352" s="44">
        <v>2548.2270000000003</v>
      </c>
      <c r="C2352">
        <v>-11</v>
      </c>
    </row>
    <row r="2353" spans="1:3" x14ac:dyDescent="0.25">
      <c r="A2353" t="s">
        <v>2932</v>
      </c>
      <c r="B2353" s="44">
        <v>2087</v>
      </c>
      <c r="C2353">
        <v>-8</v>
      </c>
    </row>
    <row r="2354" spans="1:3" x14ac:dyDescent="0.25">
      <c r="A2354" t="s">
        <v>2933</v>
      </c>
      <c r="B2354" s="44">
        <v>1988.9109999999998</v>
      </c>
      <c r="C2354">
        <v>-8</v>
      </c>
    </row>
    <row r="2355" spans="1:3" x14ac:dyDescent="0.25">
      <c r="A2355" t="s">
        <v>2934</v>
      </c>
      <c r="B2355" s="44">
        <v>2548.2270000000003</v>
      </c>
      <c r="C2355">
        <v>-10</v>
      </c>
    </row>
    <row r="2356" spans="1:3" x14ac:dyDescent="0.25">
      <c r="A2356" t="s">
        <v>2935</v>
      </c>
      <c r="B2356" s="44">
        <v>2087</v>
      </c>
      <c r="C2356">
        <v>-8</v>
      </c>
    </row>
    <row r="2357" spans="1:3" x14ac:dyDescent="0.25">
      <c r="A2357" t="s">
        <v>2936</v>
      </c>
      <c r="B2357" s="44">
        <v>2087</v>
      </c>
      <c r="C2357">
        <v>-8</v>
      </c>
    </row>
    <row r="2358" spans="1:3" x14ac:dyDescent="0.25">
      <c r="A2358" t="s">
        <v>2937</v>
      </c>
      <c r="B2358" s="44">
        <v>2087</v>
      </c>
      <c r="C2358">
        <v>-8</v>
      </c>
    </row>
    <row r="2359" spans="1:3" x14ac:dyDescent="0.25">
      <c r="A2359" t="s">
        <v>2938</v>
      </c>
      <c r="B2359" s="44">
        <v>2281.0909999999999</v>
      </c>
      <c r="C2359">
        <v>-10</v>
      </c>
    </row>
    <row r="2360" spans="1:3" x14ac:dyDescent="0.25">
      <c r="A2360" t="s">
        <v>2939</v>
      </c>
      <c r="B2360" s="44">
        <v>2087</v>
      </c>
      <c r="C2360">
        <v>-9</v>
      </c>
    </row>
    <row r="2361" spans="1:3" x14ac:dyDescent="0.25">
      <c r="A2361" t="s">
        <v>2940</v>
      </c>
      <c r="B2361" s="44">
        <v>2087</v>
      </c>
      <c r="C2361">
        <v>-9</v>
      </c>
    </row>
    <row r="2362" spans="1:3" x14ac:dyDescent="0.25">
      <c r="A2362" t="s">
        <v>2941</v>
      </c>
      <c r="B2362" s="44">
        <v>2281.0909999999999</v>
      </c>
      <c r="C2362">
        <v>-9</v>
      </c>
    </row>
    <row r="2363" spans="1:3" x14ac:dyDescent="0.25">
      <c r="A2363" t="s">
        <v>2942</v>
      </c>
      <c r="B2363" s="44">
        <v>2379.1800000000003</v>
      </c>
      <c r="C2363">
        <v>-10</v>
      </c>
    </row>
    <row r="2364" spans="1:3" x14ac:dyDescent="0.25">
      <c r="A2364" t="s">
        <v>2943</v>
      </c>
      <c r="B2364" s="44">
        <v>2548.2270000000003</v>
      </c>
      <c r="C2364">
        <v>-11</v>
      </c>
    </row>
    <row r="2365" spans="1:3" x14ac:dyDescent="0.25">
      <c r="A2365" t="s">
        <v>2944</v>
      </c>
      <c r="B2365" s="44">
        <v>2087</v>
      </c>
      <c r="C2365">
        <v>-8</v>
      </c>
    </row>
    <row r="2366" spans="1:3" x14ac:dyDescent="0.25">
      <c r="A2366" t="s">
        <v>2945</v>
      </c>
      <c r="B2366" s="44">
        <v>2087</v>
      </c>
      <c r="C2366">
        <v>-8</v>
      </c>
    </row>
    <row r="2367" spans="1:3" x14ac:dyDescent="0.25">
      <c r="A2367" t="s">
        <v>2946</v>
      </c>
      <c r="B2367" s="44">
        <v>2087</v>
      </c>
      <c r="C2367">
        <v>-8</v>
      </c>
    </row>
    <row r="2368" spans="1:3" x14ac:dyDescent="0.25">
      <c r="A2368" t="s">
        <v>2947</v>
      </c>
      <c r="B2368" s="44">
        <v>2185.0889999999999</v>
      </c>
      <c r="C2368">
        <v>-9</v>
      </c>
    </row>
    <row r="2369" spans="1:3" x14ac:dyDescent="0.25">
      <c r="A2369" t="s">
        <v>2948</v>
      </c>
      <c r="B2369" s="44">
        <v>2281.0909999999999</v>
      </c>
      <c r="C2369">
        <v>-10</v>
      </c>
    </row>
    <row r="2370" spans="1:3" x14ac:dyDescent="0.25">
      <c r="A2370" t="s">
        <v>2949</v>
      </c>
      <c r="B2370" s="44">
        <v>2281.0909999999999</v>
      </c>
      <c r="C2370">
        <v>-10</v>
      </c>
    </row>
    <row r="2371" spans="1:3" x14ac:dyDescent="0.25">
      <c r="A2371" t="s">
        <v>2950</v>
      </c>
      <c r="B2371" s="44">
        <v>2087</v>
      </c>
      <c r="C2371">
        <v>-8</v>
      </c>
    </row>
    <row r="2372" spans="1:3" x14ac:dyDescent="0.25">
      <c r="A2372" t="s">
        <v>2951</v>
      </c>
      <c r="B2372" s="44">
        <v>2185.0889999999999</v>
      </c>
      <c r="C2372">
        <v>-9</v>
      </c>
    </row>
    <row r="2373" spans="1:3" x14ac:dyDescent="0.25">
      <c r="A2373" t="s">
        <v>2952</v>
      </c>
      <c r="B2373" s="44">
        <v>2281.0909999999999</v>
      </c>
      <c r="C2373">
        <v>-9</v>
      </c>
    </row>
    <row r="2374" spans="1:3" x14ac:dyDescent="0.25">
      <c r="A2374" t="s">
        <v>2953</v>
      </c>
      <c r="B2374" s="44">
        <v>2185.0889999999999</v>
      </c>
      <c r="C2374">
        <v>-9</v>
      </c>
    </row>
    <row r="2375" spans="1:3" x14ac:dyDescent="0.25">
      <c r="A2375" t="s">
        <v>2954</v>
      </c>
      <c r="B2375" s="44">
        <v>2790.319</v>
      </c>
      <c r="C2375">
        <v>-11</v>
      </c>
    </row>
    <row r="2376" spans="1:3" x14ac:dyDescent="0.25">
      <c r="A2376" t="s">
        <v>2955</v>
      </c>
      <c r="B2376" s="44">
        <v>2281.0909999999999</v>
      </c>
      <c r="C2376">
        <v>-9</v>
      </c>
    </row>
    <row r="2377" spans="1:3" x14ac:dyDescent="0.25">
      <c r="A2377" t="s">
        <v>2956</v>
      </c>
      <c r="B2377" s="44">
        <v>2185.0889999999999</v>
      </c>
      <c r="C2377">
        <v>-9</v>
      </c>
    </row>
    <row r="2378" spans="1:3" x14ac:dyDescent="0.25">
      <c r="A2378" t="s">
        <v>2957</v>
      </c>
      <c r="B2378" s="44">
        <v>2185.0889999999999</v>
      </c>
      <c r="C2378">
        <v>-9</v>
      </c>
    </row>
    <row r="2379" spans="1:3" x14ac:dyDescent="0.25">
      <c r="A2379" t="s">
        <v>2958</v>
      </c>
      <c r="B2379" s="44">
        <v>2087</v>
      </c>
      <c r="C2379">
        <v>-8</v>
      </c>
    </row>
    <row r="2380" spans="1:3" x14ac:dyDescent="0.25">
      <c r="A2380" t="s">
        <v>2959</v>
      </c>
      <c r="B2380" s="44">
        <v>2281.0909999999999</v>
      </c>
      <c r="C2380">
        <v>-9</v>
      </c>
    </row>
    <row r="2381" spans="1:3" x14ac:dyDescent="0.25">
      <c r="A2381" t="s">
        <v>2960</v>
      </c>
      <c r="B2381" s="44">
        <v>2281.0909999999999</v>
      </c>
      <c r="C2381">
        <v>-9</v>
      </c>
    </row>
    <row r="2382" spans="1:3" x14ac:dyDescent="0.25">
      <c r="A2382" t="s">
        <v>2961</v>
      </c>
      <c r="B2382" s="44">
        <v>2087</v>
      </c>
      <c r="C2382">
        <v>-8</v>
      </c>
    </row>
    <row r="2383" spans="1:3" x14ac:dyDescent="0.25">
      <c r="A2383" t="s">
        <v>2962</v>
      </c>
      <c r="B2383" s="44">
        <v>2087</v>
      </c>
      <c r="C2383">
        <v>-8</v>
      </c>
    </row>
    <row r="2384" spans="1:3" x14ac:dyDescent="0.25">
      <c r="A2384" t="s">
        <v>2963</v>
      </c>
      <c r="B2384" s="44">
        <v>2281.0909999999999</v>
      </c>
      <c r="C2384">
        <v>-10</v>
      </c>
    </row>
    <row r="2385" spans="1:3" x14ac:dyDescent="0.25">
      <c r="A2385" t="s">
        <v>2964</v>
      </c>
      <c r="B2385" s="44">
        <v>2281.0909999999999</v>
      </c>
      <c r="C2385">
        <v>-9</v>
      </c>
    </row>
    <row r="2386" spans="1:3" x14ac:dyDescent="0.25">
      <c r="A2386" t="s">
        <v>2965</v>
      </c>
      <c r="B2386" s="44">
        <v>2281.0909999999999</v>
      </c>
      <c r="C2386">
        <v>-10</v>
      </c>
    </row>
    <row r="2387" spans="1:3" x14ac:dyDescent="0.25">
      <c r="A2387" t="s">
        <v>2966</v>
      </c>
      <c r="B2387" s="44">
        <v>2185.0889999999999</v>
      </c>
      <c r="C2387">
        <v>-8</v>
      </c>
    </row>
    <row r="2388" spans="1:3" x14ac:dyDescent="0.25">
      <c r="A2388" t="s">
        <v>2967</v>
      </c>
      <c r="B2388" s="44">
        <v>1988.9109999999998</v>
      </c>
      <c r="C2388">
        <v>-8</v>
      </c>
    </row>
    <row r="2389" spans="1:3" x14ac:dyDescent="0.25">
      <c r="A2389" t="s">
        <v>2968</v>
      </c>
      <c r="B2389" s="44">
        <v>2087</v>
      </c>
      <c r="C2389">
        <v>-9</v>
      </c>
    </row>
    <row r="2390" spans="1:3" x14ac:dyDescent="0.25">
      <c r="A2390" t="s">
        <v>2969</v>
      </c>
      <c r="B2390" s="44">
        <v>1988.9109999999998</v>
      </c>
      <c r="C2390">
        <v>-8</v>
      </c>
    </row>
    <row r="2391" spans="1:3" x14ac:dyDescent="0.25">
      <c r="A2391" t="s">
        <v>2970</v>
      </c>
      <c r="B2391" s="44">
        <v>1988.9109999999998</v>
      </c>
      <c r="C2391">
        <v>-8</v>
      </c>
    </row>
    <row r="2392" spans="1:3" x14ac:dyDescent="0.25">
      <c r="A2392" t="s">
        <v>2971</v>
      </c>
      <c r="B2392" s="44">
        <v>2087</v>
      </c>
      <c r="C2392">
        <v>-8</v>
      </c>
    </row>
    <row r="2393" spans="1:3" x14ac:dyDescent="0.25">
      <c r="A2393" t="s">
        <v>2970</v>
      </c>
      <c r="B2393" s="44">
        <v>2087</v>
      </c>
      <c r="C2393">
        <v>-8</v>
      </c>
    </row>
    <row r="2394" spans="1:3" x14ac:dyDescent="0.25">
      <c r="A2394" t="s">
        <v>2972</v>
      </c>
      <c r="B2394" s="44">
        <v>2087</v>
      </c>
      <c r="C2394">
        <v>-8</v>
      </c>
    </row>
    <row r="2395" spans="1:3" x14ac:dyDescent="0.25">
      <c r="A2395" t="s">
        <v>2973</v>
      </c>
      <c r="B2395" s="44">
        <v>2281.0909999999999</v>
      </c>
      <c r="C2395">
        <v>-9</v>
      </c>
    </row>
    <row r="2396" spans="1:3" x14ac:dyDescent="0.25">
      <c r="A2396" t="s">
        <v>2974</v>
      </c>
      <c r="B2396" s="44">
        <v>2281.0909999999999</v>
      </c>
      <c r="C2396">
        <v>-9</v>
      </c>
    </row>
    <row r="2397" spans="1:3" x14ac:dyDescent="0.25">
      <c r="A2397" t="s">
        <v>2975</v>
      </c>
      <c r="B2397" s="44">
        <v>2087</v>
      </c>
      <c r="C2397">
        <v>-8</v>
      </c>
    </row>
    <row r="2398" spans="1:3" x14ac:dyDescent="0.25">
      <c r="A2398" t="s">
        <v>2976</v>
      </c>
      <c r="B2398" s="44">
        <v>2281.0909999999999</v>
      </c>
      <c r="C2398">
        <v>-9</v>
      </c>
    </row>
    <row r="2399" spans="1:3" x14ac:dyDescent="0.25">
      <c r="A2399" t="s">
        <v>2977</v>
      </c>
      <c r="B2399" s="44">
        <v>2790.319</v>
      </c>
      <c r="C2399">
        <v>-11</v>
      </c>
    </row>
    <row r="2400" spans="1:3" x14ac:dyDescent="0.25">
      <c r="A2400" t="s">
        <v>2978</v>
      </c>
      <c r="B2400" s="44">
        <v>2281.0909999999999</v>
      </c>
      <c r="C2400">
        <v>-9</v>
      </c>
    </row>
    <row r="2401" spans="1:3" x14ac:dyDescent="0.25">
      <c r="A2401" t="s">
        <v>2979</v>
      </c>
      <c r="B2401" s="44">
        <v>2185.0889999999999</v>
      </c>
      <c r="C2401">
        <v>-9</v>
      </c>
    </row>
    <row r="2402" spans="1:3" x14ac:dyDescent="0.25">
      <c r="A2402" t="s">
        <v>2980</v>
      </c>
      <c r="B2402" s="44">
        <v>2185.0889999999999</v>
      </c>
      <c r="C2402">
        <v>-9</v>
      </c>
    </row>
    <row r="2403" spans="1:3" x14ac:dyDescent="0.25">
      <c r="A2403" t="s">
        <v>2981</v>
      </c>
      <c r="B2403" s="44">
        <v>2281.0909999999999</v>
      </c>
      <c r="C2403">
        <v>-10</v>
      </c>
    </row>
    <row r="2404" spans="1:3" x14ac:dyDescent="0.25">
      <c r="A2404" t="s">
        <v>2982</v>
      </c>
      <c r="B2404" s="44">
        <v>2961.453</v>
      </c>
      <c r="C2404">
        <v>-11</v>
      </c>
    </row>
    <row r="2405" spans="1:3" x14ac:dyDescent="0.25">
      <c r="A2405" t="s">
        <v>2983</v>
      </c>
      <c r="B2405" s="44">
        <v>2548.2270000000003</v>
      </c>
      <c r="C2405">
        <v>-11</v>
      </c>
    </row>
    <row r="2406" spans="1:3" x14ac:dyDescent="0.25">
      <c r="A2406" t="s">
        <v>2984</v>
      </c>
      <c r="B2406" s="44">
        <v>1988.9109999999998</v>
      </c>
      <c r="C2406">
        <v>-8</v>
      </c>
    </row>
    <row r="2407" spans="1:3" x14ac:dyDescent="0.25">
      <c r="A2407" t="s">
        <v>2985</v>
      </c>
      <c r="B2407" s="44">
        <v>2548.2270000000003</v>
      </c>
      <c r="C2407">
        <v>-11</v>
      </c>
    </row>
    <row r="2408" spans="1:3" x14ac:dyDescent="0.25">
      <c r="A2408" t="s">
        <v>2986</v>
      </c>
      <c r="B2408" s="44">
        <v>2379.1800000000003</v>
      </c>
      <c r="C2408">
        <v>-10</v>
      </c>
    </row>
    <row r="2409" spans="1:3" x14ac:dyDescent="0.25">
      <c r="A2409" t="s">
        <v>2987</v>
      </c>
      <c r="B2409" s="44">
        <v>2087</v>
      </c>
      <c r="C2409">
        <v>-8</v>
      </c>
    </row>
    <row r="2410" spans="1:3" x14ac:dyDescent="0.25">
      <c r="A2410" t="s">
        <v>2988</v>
      </c>
      <c r="B2410" s="44">
        <v>2087</v>
      </c>
      <c r="C2410">
        <v>-8</v>
      </c>
    </row>
    <row r="2411" spans="1:3" x14ac:dyDescent="0.25">
      <c r="A2411" t="s">
        <v>2989</v>
      </c>
      <c r="B2411" s="44">
        <v>2185.0889999999999</v>
      </c>
      <c r="C2411">
        <v>-9</v>
      </c>
    </row>
    <row r="2412" spans="1:3" x14ac:dyDescent="0.25">
      <c r="A2412" t="s">
        <v>2989</v>
      </c>
      <c r="B2412" s="44">
        <v>2087</v>
      </c>
      <c r="C2412">
        <v>-9</v>
      </c>
    </row>
    <row r="2413" spans="1:3" x14ac:dyDescent="0.25">
      <c r="A2413" t="s">
        <v>2990</v>
      </c>
      <c r="B2413" s="44">
        <v>2087</v>
      </c>
      <c r="C2413">
        <v>-8</v>
      </c>
    </row>
    <row r="2414" spans="1:3" x14ac:dyDescent="0.25">
      <c r="A2414" t="s">
        <v>2991</v>
      </c>
      <c r="B2414" s="44">
        <v>2087</v>
      </c>
      <c r="C2414">
        <v>-8</v>
      </c>
    </row>
    <row r="2415" spans="1:3" x14ac:dyDescent="0.25">
      <c r="A2415" t="s">
        <v>2992</v>
      </c>
      <c r="B2415" s="44">
        <v>2185.0889999999999</v>
      </c>
      <c r="C2415">
        <v>-9</v>
      </c>
    </row>
    <row r="2416" spans="1:3" x14ac:dyDescent="0.25">
      <c r="A2416" t="s">
        <v>2993</v>
      </c>
      <c r="B2416" s="44">
        <v>2548.2270000000003</v>
      </c>
      <c r="C2416">
        <v>-11</v>
      </c>
    </row>
    <row r="2417" spans="1:3" x14ac:dyDescent="0.25">
      <c r="A2417" t="s">
        <v>2994</v>
      </c>
      <c r="B2417" s="44">
        <v>2379.1800000000003</v>
      </c>
      <c r="C2417">
        <v>-10</v>
      </c>
    </row>
    <row r="2418" spans="1:3" x14ac:dyDescent="0.25">
      <c r="A2418" t="s">
        <v>2995</v>
      </c>
      <c r="B2418" s="44">
        <v>1988.9109999999998</v>
      </c>
      <c r="C2418">
        <v>-8</v>
      </c>
    </row>
    <row r="2419" spans="1:3" x14ac:dyDescent="0.25">
      <c r="A2419" t="s">
        <v>2996</v>
      </c>
      <c r="B2419" s="44">
        <v>2185.0889999999999</v>
      </c>
      <c r="C2419">
        <v>-9</v>
      </c>
    </row>
    <row r="2420" spans="1:3" x14ac:dyDescent="0.25">
      <c r="A2420" t="s">
        <v>2997</v>
      </c>
      <c r="B2420" s="44">
        <v>2087</v>
      </c>
      <c r="C2420">
        <v>-8</v>
      </c>
    </row>
    <row r="2421" spans="1:3" x14ac:dyDescent="0.25">
      <c r="A2421" t="s">
        <v>2998</v>
      </c>
      <c r="B2421" s="44">
        <v>2087</v>
      </c>
      <c r="C2421">
        <v>-9</v>
      </c>
    </row>
    <row r="2422" spans="1:3" x14ac:dyDescent="0.25">
      <c r="A2422" t="s">
        <v>2999</v>
      </c>
      <c r="B2422" s="44">
        <v>2087</v>
      </c>
      <c r="C2422">
        <v>-8</v>
      </c>
    </row>
    <row r="2423" spans="1:3" x14ac:dyDescent="0.25">
      <c r="A2423" t="s">
        <v>3000</v>
      </c>
      <c r="B2423" s="44">
        <v>2790.319</v>
      </c>
      <c r="C2423">
        <v>-11</v>
      </c>
    </row>
    <row r="2424" spans="1:3" x14ac:dyDescent="0.25">
      <c r="A2424" t="s">
        <v>3001</v>
      </c>
      <c r="B2424" s="44">
        <v>2087</v>
      </c>
      <c r="C2424">
        <v>-8</v>
      </c>
    </row>
    <row r="2425" spans="1:3" x14ac:dyDescent="0.25">
      <c r="A2425" t="s">
        <v>3002</v>
      </c>
      <c r="B2425" s="44">
        <v>2548.2270000000003</v>
      </c>
      <c r="C2425">
        <v>-11</v>
      </c>
    </row>
    <row r="2426" spans="1:3" x14ac:dyDescent="0.25">
      <c r="A2426" t="s">
        <v>3003</v>
      </c>
      <c r="B2426" s="44">
        <v>2185.0889999999999</v>
      </c>
      <c r="C2426">
        <v>-9</v>
      </c>
    </row>
    <row r="2427" spans="1:3" x14ac:dyDescent="0.25">
      <c r="A2427" t="s">
        <v>3004</v>
      </c>
      <c r="B2427" s="44">
        <v>2379.1800000000003</v>
      </c>
      <c r="C2427">
        <v>-10</v>
      </c>
    </row>
    <row r="2428" spans="1:3" x14ac:dyDescent="0.25">
      <c r="A2428" t="s">
        <v>3005</v>
      </c>
      <c r="B2428" s="44">
        <v>2281.0909999999999</v>
      </c>
      <c r="C2428">
        <v>-9</v>
      </c>
    </row>
    <row r="2429" spans="1:3" x14ac:dyDescent="0.25">
      <c r="A2429" t="s">
        <v>3006</v>
      </c>
      <c r="B2429" s="44">
        <v>2087</v>
      </c>
      <c r="C2429">
        <v>-8</v>
      </c>
    </row>
    <row r="2430" spans="1:3" x14ac:dyDescent="0.25">
      <c r="A2430" t="s">
        <v>3007</v>
      </c>
      <c r="B2430" s="44">
        <v>2185.0889999999999</v>
      </c>
      <c r="C2430">
        <v>-8</v>
      </c>
    </row>
    <row r="2431" spans="1:3" x14ac:dyDescent="0.25">
      <c r="A2431" t="s">
        <v>3008</v>
      </c>
      <c r="B2431" s="44">
        <v>2087</v>
      </c>
      <c r="C2431">
        <v>-9</v>
      </c>
    </row>
    <row r="2432" spans="1:3" x14ac:dyDescent="0.25">
      <c r="A2432" t="s">
        <v>3009</v>
      </c>
      <c r="B2432" s="44">
        <v>2548.2270000000003</v>
      </c>
      <c r="C2432">
        <v>-11</v>
      </c>
    </row>
    <row r="2433" spans="1:3" x14ac:dyDescent="0.25">
      <c r="A2433" t="s">
        <v>3010</v>
      </c>
      <c r="B2433" s="44">
        <v>2281.0909999999999</v>
      </c>
      <c r="C2433">
        <v>-9</v>
      </c>
    </row>
    <row r="2434" spans="1:3" x14ac:dyDescent="0.25">
      <c r="A2434" t="s">
        <v>3011</v>
      </c>
      <c r="B2434" s="44">
        <v>2087</v>
      </c>
      <c r="C2434">
        <v>-8</v>
      </c>
    </row>
    <row r="2435" spans="1:3" x14ac:dyDescent="0.25">
      <c r="A2435" t="s">
        <v>3012</v>
      </c>
      <c r="B2435" s="44">
        <v>2185.0889999999999</v>
      </c>
      <c r="C2435">
        <v>-9</v>
      </c>
    </row>
    <row r="2436" spans="1:3" x14ac:dyDescent="0.25">
      <c r="A2436" t="s">
        <v>3013</v>
      </c>
      <c r="B2436" s="44">
        <v>2087</v>
      </c>
      <c r="C2436">
        <v>-8</v>
      </c>
    </row>
    <row r="2437" spans="1:3" x14ac:dyDescent="0.25">
      <c r="A2437" t="s">
        <v>3014</v>
      </c>
      <c r="B2437" s="44">
        <v>2790.319</v>
      </c>
      <c r="C2437">
        <v>-10</v>
      </c>
    </row>
    <row r="2438" spans="1:3" x14ac:dyDescent="0.25">
      <c r="A2438" t="s">
        <v>3015</v>
      </c>
      <c r="B2438" s="44">
        <v>2185.0889999999999</v>
      </c>
      <c r="C2438">
        <v>-8</v>
      </c>
    </row>
    <row r="2439" spans="1:3" x14ac:dyDescent="0.25">
      <c r="A2439" t="s">
        <v>3016</v>
      </c>
      <c r="B2439" s="44">
        <v>1988.9109999999998</v>
      </c>
      <c r="C2439">
        <v>-8</v>
      </c>
    </row>
    <row r="2440" spans="1:3" x14ac:dyDescent="0.25">
      <c r="A2440" t="s">
        <v>3017</v>
      </c>
      <c r="B2440" s="44">
        <v>1892.9090000000001</v>
      </c>
      <c r="C2440">
        <v>-7</v>
      </c>
    </row>
    <row r="2441" spans="1:3" x14ac:dyDescent="0.25">
      <c r="A2441" t="s">
        <v>3018</v>
      </c>
      <c r="B2441" s="44">
        <v>2087</v>
      </c>
      <c r="C2441">
        <v>-8</v>
      </c>
    </row>
    <row r="2442" spans="1:3" x14ac:dyDescent="0.25">
      <c r="A2442" t="s">
        <v>3019</v>
      </c>
      <c r="B2442" s="44">
        <v>2087</v>
      </c>
      <c r="C2442">
        <v>-8</v>
      </c>
    </row>
    <row r="2443" spans="1:3" x14ac:dyDescent="0.25">
      <c r="A2443" t="s">
        <v>3020</v>
      </c>
      <c r="B2443" s="44">
        <v>2185.0889999999999</v>
      </c>
      <c r="C2443">
        <v>-9</v>
      </c>
    </row>
    <row r="2444" spans="1:3" x14ac:dyDescent="0.25">
      <c r="A2444" t="s">
        <v>3021</v>
      </c>
      <c r="B2444" s="44">
        <v>1988.9109999999998</v>
      </c>
      <c r="C2444">
        <v>-8</v>
      </c>
    </row>
    <row r="2445" spans="1:3" x14ac:dyDescent="0.25">
      <c r="A2445" t="s">
        <v>3022</v>
      </c>
      <c r="B2445" s="44">
        <v>2087</v>
      </c>
      <c r="C2445">
        <v>-8</v>
      </c>
    </row>
    <row r="2446" spans="1:3" x14ac:dyDescent="0.25">
      <c r="A2446" t="s">
        <v>3023</v>
      </c>
      <c r="B2446" s="44">
        <v>2185.0889999999999</v>
      </c>
      <c r="C2446">
        <v>-8</v>
      </c>
    </row>
    <row r="2447" spans="1:3" x14ac:dyDescent="0.25">
      <c r="A2447" t="s">
        <v>3024</v>
      </c>
      <c r="B2447" s="44">
        <v>2548.2270000000003</v>
      </c>
      <c r="C2447">
        <v>-11</v>
      </c>
    </row>
    <row r="2448" spans="1:3" x14ac:dyDescent="0.25">
      <c r="A2448" t="s">
        <v>3025</v>
      </c>
      <c r="B2448" s="44">
        <v>2087</v>
      </c>
      <c r="C2448">
        <v>-9</v>
      </c>
    </row>
    <row r="2449" spans="1:3" x14ac:dyDescent="0.25">
      <c r="A2449" t="s">
        <v>3026</v>
      </c>
      <c r="B2449" s="44">
        <v>1988.9109999999998</v>
      </c>
      <c r="C2449">
        <v>-8</v>
      </c>
    </row>
    <row r="2450" spans="1:3" x14ac:dyDescent="0.25">
      <c r="A2450" t="s">
        <v>3027</v>
      </c>
      <c r="B2450" s="44">
        <v>2379.1800000000003</v>
      </c>
      <c r="C2450">
        <v>-10</v>
      </c>
    </row>
    <row r="2451" spans="1:3" x14ac:dyDescent="0.25">
      <c r="A2451" t="s">
        <v>3028</v>
      </c>
      <c r="B2451" s="44">
        <v>2379.1800000000003</v>
      </c>
      <c r="C2451">
        <v>-10</v>
      </c>
    </row>
    <row r="2452" spans="1:3" x14ac:dyDescent="0.25">
      <c r="A2452" t="s">
        <v>3028</v>
      </c>
      <c r="B2452" s="44">
        <v>2087</v>
      </c>
      <c r="C2452">
        <v>-8</v>
      </c>
    </row>
    <row r="2453" spans="1:3" x14ac:dyDescent="0.25">
      <c r="A2453" t="s">
        <v>3029</v>
      </c>
      <c r="B2453" s="44">
        <v>2281.0909999999999</v>
      </c>
      <c r="C2453">
        <v>-9</v>
      </c>
    </row>
    <row r="2454" spans="1:3" x14ac:dyDescent="0.25">
      <c r="A2454" t="s">
        <v>3030</v>
      </c>
      <c r="B2454" s="44">
        <v>2379.1800000000003</v>
      </c>
      <c r="C2454">
        <v>-11</v>
      </c>
    </row>
    <row r="2455" spans="1:3" x14ac:dyDescent="0.25">
      <c r="A2455" t="s">
        <v>3031</v>
      </c>
      <c r="B2455" s="44">
        <v>2790.319</v>
      </c>
      <c r="C2455">
        <v>-11</v>
      </c>
    </row>
    <row r="2456" spans="1:3" x14ac:dyDescent="0.25">
      <c r="A2456" t="s">
        <v>3032</v>
      </c>
      <c r="B2456" s="44">
        <v>2185.0889999999999</v>
      </c>
      <c r="C2456">
        <v>-9</v>
      </c>
    </row>
    <row r="2457" spans="1:3" x14ac:dyDescent="0.25">
      <c r="A2457" t="s">
        <v>3033</v>
      </c>
      <c r="B2457" s="44">
        <v>2790.319</v>
      </c>
      <c r="C2457">
        <v>-11</v>
      </c>
    </row>
    <row r="2458" spans="1:3" x14ac:dyDescent="0.25">
      <c r="A2458" t="s">
        <v>3034</v>
      </c>
      <c r="B2458" s="44">
        <v>2185.0889999999999</v>
      </c>
      <c r="C2458">
        <v>-8</v>
      </c>
    </row>
    <row r="2459" spans="1:3" x14ac:dyDescent="0.25">
      <c r="A2459" t="s">
        <v>3035</v>
      </c>
      <c r="B2459" s="44">
        <v>2185.0889999999999</v>
      </c>
      <c r="C2459">
        <v>-9</v>
      </c>
    </row>
    <row r="2460" spans="1:3" x14ac:dyDescent="0.25">
      <c r="A2460" t="s">
        <v>3036</v>
      </c>
      <c r="B2460" s="44">
        <v>2087</v>
      </c>
      <c r="C2460">
        <v>-9</v>
      </c>
    </row>
    <row r="2461" spans="1:3" x14ac:dyDescent="0.25">
      <c r="A2461" t="s">
        <v>3037</v>
      </c>
      <c r="B2461" s="44">
        <v>2185.0889999999999</v>
      </c>
      <c r="C2461">
        <v>-9</v>
      </c>
    </row>
    <row r="2462" spans="1:3" x14ac:dyDescent="0.25">
      <c r="A2462" t="s">
        <v>3038</v>
      </c>
      <c r="B2462" s="44">
        <v>2087</v>
      </c>
      <c r="C2462">
        <v>-8</v>
      </c>
    </row>
    <row r="2463" spans="1:3" x14ac:dyDescent="0.25">
      <c r="A2463" t="s">
        <v>3039</v>
      </c>
      <c r="B2463" s="44">
        <v>1988.9109999999998</v>
      </c>
      <c r="C2463">
        <v>-8</v>
      </c>
    </row>
    <row r="2464" spans="1:3" x14ac:dyDescent="0.25">
      <c r="A2464" t="s">
        <v>3040</v>
      </c>
      <c r="B2464" s="44">
        <v>2185.0889999999999</v>
      </c>
      <c r="C2464">
        <v>-8</v>
      </c>
    </row>
    <row r="2465" spans="1:3" x14ac:dyDescent="0.25">
      <c r="A2465" t="s">
        <v>3041</v>
      </c>
      <c r="B2465" s="44">
        <v>2185.0889999999999</v>
      </c>
      <c r="C2465">
        <v>-9</v>
      </c>
    </row>
    <row r="2466" spans="1:3" x14ac:dyDescent="0.25">
      <c r="A2466" t="s">
        <v>3042</v>
      </c>
      <c r="B2466" s="44">
        <v>2185.0889999999999</v>
      </c>
      <c r="C2466">
        <v>-8</v>
      </c>
    </row>
    <row r="2467" spans="1:3" x14ac:dyDescent="0.25">
      <c r="A2467" t="s">
        <v>3043</v>
      </c>
      <c r="B2467" s="44">
        <v>2087</v>
      </c>
      <c r="C2467">
        <v>-8</v>
      </c>
    </row>
    <row r="2468" spans="1:3" x14ac:dyDescent="0.25">
      <c r="A2468" t="s">
        <v>3044</v>
      </c>
      <c r="B2468" s="44">
        <v>2185.0889999999999</v>
      </c>
      <c r="C2468">
        <v>-9</v>
      </c>
    </row>
    <row r="2469" spans="1:3" x14ac:dyDescent="0.25">
      <c r="A2469" t="s">
        <v>3045</v>
      </c>
      <c r="B2469" s="44">
        <v>2087</v>
      </c>
      <c r="C2469">
        <v>-8</v>
      </c>
    </row>
    <row r="2470" spans="1:3" x14ac:dyDescent="0.25">
      <c r="A2470" t="s">
        <v>3046</v>
      </c>
      <c r="B2470" s="44">
        <v>2087</v>
      </c>
      <c r="C2470">
        <v>-8</v>
      </c>
    </row>
    <row r="2471" spans="1:3" x14ac:dyDescent="0.25">
      <c r="A2471" t="s">
        <v>3047</v>
      </c>
      <c r="B2471" s="44">
        <v>2548.2270000000003</v>
      </c>
      <c r="C2471">
        <v>-10</v>
      </c>
    </row>
    <row r="2472" spans="1:3" x14ac:dyDescent="0.25">
      <c r="A2472" t="s">
        <v>3048</v>
      </c>
      <c r="B2472" s="44">
        <v>2281.0909999999999</v>
      </c>
      <c r="C2472">
        <v>-9</v>
      </c>
    </row>
    <row r="2473" spans="1:3" x14ac:dyDescent="0.25">
      <c r="A2473" t="s">
        <v>3049</v>
      </c>
      <c r="B2473" s="44">
        <v>2185.0889999999999</v>
      </c>
      <c r="C2473">
        <v>-9</v>
      </c>
    </row>
    <row r="2474" spans="1:3" x14ac:dyDescent="0.25">
      <c r="A2474" t="s">
        <v>3050</v>
      </c>
      <c r="B2474" s="44">
        <v>2281.0909999999999</v>
      </c>
      <c r="C2474">
        <v>-10</v>
      </c>
    </row>
    <row r="2475" spans="1:3" x14ac:dyDescent="0.25">
      <c r="A2475" t="s">
        <v>3051</v>
      </c>
      <c r="B2475" s="44">
        <v>1892.9090000000001</v>
      </c>
      <c r="C2475">
        <v>-8</v>
      </c>
    </row>
    <row r="2476" spans="1:3" x14ac:dyDescent="0.25">
      <c r="A2476" t="s">
        <v>3052</v>
      </c>
      <c r="B2476" s="44">
        <v>2087</v>
      </c>
      <c r="C2476">
        <v>-8</v>
      </c>
    </row>
    <row r="2477" spans="1:3" x14ac:dyDescent="0.25">
      <c r="A2477" t="s">
        <v>3053</v>
      </c>
      <c r="B2477" s="44">
        <v>2379.1800000000003</v>
      </c>
      <c r="C2477">
        <v>-10</v>
      </c>
    </row>
    <row r="2478" spans="1:3" x14ac:dyDescent="0.25">
      <c r="A2478" t="s">
        <v>3054</v>
      </c>
      <c r="B2478" s="44">
        <v>2548.2270000000003</v>
      </c>
      <c r="C2478">
        <v>-11</v>
      </c>
    </row>
    <row r="2479" spans="1:3" x14ac:dyDescent="0.25">
      <c r="A2479" t="s">
        <v>3055</v>
      </c>
      <c r="B2479" s="44">
        <v>2087</v>
      </c>
      <c r="C2479">
        <v>-8</v>
      </c>
    </row>
    <row r="2480" spans="1:3" x14ac:dyDescent="0.25">
      <c r="A2480" t="s">
        <v>3056</v>
      </c>
      <c r="B2480" s="44">
        <v>1892.9090000000001</v>
      </c>
      <c r="C2480">
        <v>-7</v>
      </c>
    </row>
    <row r="2481" spans="1:3" x14ac:dyDescent="0.25">
      <c r="A2481" t="s">
        <v>3057</v>
      </c>
      <c r="B2481" s="44">
        <v>2281.0909999999999</v>
      </c>
      <c r="C2481">
        <v>-9</v>
      </c>
    </row>
    <row r="2482" spans="1:3" x14ac:dyDescent="0.25">
      <c r="A2482" t="s">
        <v>3058</v>
      </c>
      <c r="B2482" s="44">
        <v>2087</v>
      </c>
      <c r="C2482">
        <v>-8</v>
      </c>
    </row>
    <row r="2483" spans="1:3" x14ac:dyDescent="0.25">
      <c r="A2483" t="s">
        <v>3059</v>
      </c>
      <c r="B2483" s="44">
        <v>2087</v>
      </c>
      <c r="C2483">
        <v>-8</v>
      </c>
    </row>
    <row r="2484" spans="1:3" x14ac:dyDescent="0.25">
      <c r="A2484" t="s">
        <v>3060</v>
      </c>
      <c r="B2484" s="44">
        <v>1988.9109999999998</v>
      </c>
      <c r="C2484">
        <v>-8</v>
      </c>
    </row>
    <row r="2485" spans="1:3" x14ac:dyDescent="0.25">
      <c r="A2485" t="s">
        <v>3061</v>
      </c>
      <c r="B2485" s="44">
        <v>2548.2270000000003</v>
      </c>
      <c r="C2485">
        <v>-11</v>
      </c>
    </row>
    <row r="2486" spans="1:3" x14ac:dyDescent="0.25">
      <c r="A2486" t="s">
        <v>3062</v>
      </c>
      <c r="B2486" s="44">
        <v>2185.0889999999999</v>
      </c>
      <c r="C2486">
        <v>-9</v>
      </c>
    </row>
    <row r="2487" spans="1:3" x14ac:dyDescent="0.25">
      <c r="A2487" t="s">
        <v>3063</v>
      </c>
      <c r="B2487" s="44">
        <v>2087</v>
      </c>
      <c r="C2487">
        <v>-9</v>
      </c>
    </row>
    <row r="2488" spans="1:3" x14ac:dyDescent="0.25">
      <c r="A2488" t="s">
        <v>3064</v>
      </c>
      <c r="B2488" s="44">
        <v>2281.0909999999999</v>
      </c>
      <c r="C2488">
        <v>-9</v>
      </c>
    </row>
    <row r="2489" spans="1:3" x14ac:dyDescent="0.25">
      <c r="A2489" t="s">
        <v>3065</v>
      </c>
      <c r="B2489" s="44">
        <v>2379.1800000000003</v>
      </c>
      <c r="C2489">
        <v>-10</v>
      </c>
    </row>
    <row r="2490" spans="1:3" x14ac:dyDescent="0.25">
      <c r="A2490" t="s">
        <v>3066</v>
      </c>
      <c r="B2490" s="44">
        <v>2185.0889999999999</v>
      </c>
      <c r="C2490">
        <v>-9</v>
      </c>
    </row>
    <row r="2491" spans="1:3" x14ac:dyDescent="0.25">
      <c r="A2491" t="s">
        <v>3067</v>
      </c>
      <c r="B2491" s="44">
        <v>2087</v>
      </c>
      <c r="C2491">
        <v>-9</v>
      </c>
    </row>
    <row r="2492" spans="1:3" x14ac:dyDescent="0.25">
      <c r="A2492" t="s">
        <v>3068</v>
      </c>
      <c r="B2492" s="44">
        <v>2185.0889999999999</v>
      </c>
      <c r="C2492">
        <v>-9</v>
      </c>
    </row>
    <row r="2493" spans="1:3" x14ac:dyDescent="0.25">
      <c r="A2493" t="s">
        <v>3069</v>
      </c>
      <c r="B2493" s="44">
        <v>2379.1800000000003</v>
      </c>
      <c r="C2493">
        <v>-10</v>
      </c>
    </row>
    <row r="2494" spans="1:3" x14ac:dyDescent="0.25">
      <c r="A2494" t="s">
        <v>3070</v>
      </c>
      <c r="B2494" s="44">
        <v>2548.2270000000003</v>
      </c>
      <c r="C2494">
        <v>-11</v>
      </c>
    </row>
    <row r="2495" spans="1:3" x14ac:dyDescent="0.25">
      <c r="A2495" t="s">
        <v>3071</v>
      </c>
      <c r="B2495" s="44">
        <v>2185.0889999999999</v>
      </c>
      <c r="C2495">
        <v>-9</v>
      </c>
    </row>
    <row r="2496" spans="1:3" x14ac:dyDescent="0.25">
      <c r="A2496" t="s">
        <v>3072</v>
      </c>
      <c r="B2496" s="44">
        <v>2087</v>
      </c>
      <c r="C2496">
        <v>-8</v>
      </c>
    </row>
    <row r="2497" spans="1:3" x14ac:dyDescent="0.25">
      <c r="A2497" t="s">
        <v>3073</v>
      </c>
      <c r="B2497" s="44">
        <v>2087</v>
      </c>
      <c r="C2497">
        <v>-8</v>
      </c>
    </row>
    <row r="2498" spans="1:3" x14ac:dyDescent="0.25">
      <c r="A2498" t="s">
        <v>3074</v>
      </c>
      <c r="B2498" s="44">
        <v>2087</v>
      </c>
      <c r="C2498">
        <v>-8</v>
      </c>
    </row>
    <row r="2499" spans="1:3" x14ac:dyDescent="0.25">
      <c r="A2499" t="s">
        <v>3075</v>
      </c>
      <c r="B2499" s="44">
        <v>2379.1800000000003</v>
      </c>
      <c r="C2499">
        <v>-10</v>
      </c>
    </row>
    <row r="2500" spans="1:3" x14ac:dyDescent="0.25">
      <c r="A2500" t="s">
        <v>3076</v>
      </c>
      <c r="B2500" s="44">
        <v>2281.0909999999999</v>
      </c>
      <c r="C2500">
        <v>-9</v>
      </c>
    </row>
    <row r="2501" spans="1:3" x14ac:dyDescent="0.25">
      <c r="A2501" t="s">
        <v>3077</v>
      </c>
      <c r="B2501" s="44">
        <v>2281.0909999999999</v>
      </c>
      <c r="C2501">
        <v>-10</v>
      </c>
    </row>
    <row r="2502" spans="1:3" x14ac:dyDescent="0.25">
      <c r="A2502" t="s">
        <v>3078</v>
      </c>
      <c r="B2502" s="44">
        <v>2790.319</v>
      </c>
      <c r="C2502">
        <v>-11</v>
      </c>
    </row>
    <row r="2503" spans="1:3" x14ac:dyDescent="0.25">
      <c r="A2503" t="s">
        <v>3079</v>
      </c>
      <c r="B2503" s="44">
        <v>2087</v>
      </c>
      <c r="C2503">
        <v>-8</v>
      </c>
    </row>
    <row r="2504" spans="1:3" x14ac:dyDescent="0.25">
      <c r="A2504" t="s">
        <v>3080</v>
      </c>
      <c r="B2504" s="44">
        <v>2379.1800000000003</v>
      </c>
      <c r="C2504">
        <v>-10</v>
      </c>
    </row>
    <row r="2505" spans="1:3" x14ac:dyDescent="0.25">
      <c r="A2505" t="s">
        <v>3081</v>
      </c>
      <c r="B2505" s="44">
        <v>2087</v>
      </c>
      <c r="C2505">
        <v>-8</v>
      </c>
    </row>
    <row r="2506" spans="1:3" x14ac:dyDescent="0.25">
      <c r="A2506" t="s">
        <v>3082</v>
      </c>
      <c r="B2506" s="44">
        <v>2185.0889999999999</v>
      </c>
      <c r="C2506">
        <v>-9</v>
      </c>
    </row>
    <row r="2507" spans="1:3" x14ac:dyDescent="0.25">
      <c r="A2507" t="s">
        <v>3083</v>
      </c>
      <c r="B2507" s="44">
        <v>2185.0889999999999</v>
      </c>
      <c r="C2507">
        <v>-9</v>
      </c>
    </row>
    <row r="2508" spans="1:3" x14ac:dyDescent="0.25">
      <c r="A2508" t="s">
        <v>3084</v>
      </c>
      <c r="B2508" s="44">
        <v>2548.2270000000003</v>
      </c>
      <c r="C2508">
        <v>-10</v>
      </c>
    </row>
    <row r="2509" spans="1:3" x14ac:dyDescent="0.25">
      <c r="A2509" t="s">
        <v>3085</v>
      </c>
      <c r="B2509" s="44">
        <v>2548.2270000000003</v>
      </c>
      <c r="C2509">
        <v>-11</v>
      </c>
    </row>
    <row r="2510" spans="1:3" x14ac:dyDescent="0.25">
      <c r="A2510" t="s">
        <v>3086</v>
      </c>
      <c r="B2510" s="44">
        <v>2281.0909999999999</v>
      </c>
      <c r="C2510">
        <v>-9</v>
      </c>
    </row>
    <row r="2511" spans="1:3" x14ac:dyDescent="0.25">
      <c r="A2511" t="s">
        <v>3087</v>
      </c>
      <c r="B2511" s="44">
        <v>2185.0889999999999</v>
      </c>
      <c r="C2511">
        <v>-9</v>
      </c>
    </row>
    <row r="2512" spans="1:3" x14ac:dyDescent="0.25">
      <c r="A2512" t="s">
        <v>3088</v>
      </c>
      <c r="B2512" s="44">
        <v>2185.0889999999999</v>
      </c>
      <c r="C2512">
        <v>-9</v>
      </c>
    </row>
    <row r="2513" spans="1:3" x14ac:dyDescent="0.25">
      <c r="A2513" t="s">
        <v>3089</v>
      </c>
      <c r="B2513" s="44">
        <v>2379.1800000000003</v>
      </c>
      <c r="C2513">
        <v>-10</v>
      </c>
    </row>
    <row r="2514" spans="1:3" x14ac:dyDescent="0.25">
      <c r="A2514" t="s">
        <v>3090</v>
      </c>
      <c r="B2514" s="44">
        <v>2185.0889999999999</v>
      </c>
      <c r="C2514">
        <v>-9</v>
      </c>
    </row>
    <row r="2515" spans="1:3" x14ac:dyDescent="0.25">
      <c r="A2515" t="s">
        <v>3091</v>
      </c>
      <c r="B2515" s="44">
        <v>2379.1800000000003</v>
      </c>
      <c r="C2515">
        <v>-10</v>
      </c>
    </row>
    <row r="2516" spans="1:3" x14ac:dyDescent="0.25">
      <c r="A2516" t="s">
        <v>3092</v>
      </c>
      <c r="B2516" s="44">
        <v>2379.1800000000003</v>
      </c>
      <c r="C2516">
        <v>-10</v>
      </c>
    </row>
    <row r="2517" spans="1:3" x14ac:dyDescent="0.25">
      <c r="A2517" t="s">
        <v>3093</v>
      </c>
      <c r="B2517" s="44">
        <v>2281.0909999999999</v>
      </c>
      <c r="C2517">
        <v>-10</v>
      </c>
    </row>
    <row r="2518" spans="1:3" x14ac:dyDescent="0.25">
      <c r="A2518" t="s">
        <v>3094</v>
      </c>
      <c r="B2518" s="44">
        <v>2185.0889999999999</v>
      </c>
      <c r="C2518">
        <v>-8</v>
      </c>
    </row>
    <row r="2519" spans="1:3" x14ac:dyDescent="0.25">
      <c r="A2519" t="s">
        <v>3095</v>
      </c>
      <c r="B2519" s="44">
        <v>2281.0909999999999</v>
      </c>
      <c r="C2519">
        <v>-10</v>
      </c>
    </row>
    <row r="2520" spans="1:3" x14ac:dyDescent="0.25">
      <c r="A2520" t="s">
        <v>3096</v>
      </c>
      <c r="B2520" s="44">
        <v>2185.0889999999999</v>
      </c>
      <c r="C2520">
        <v>-9</v>
      </c>
    </row>
    <row r="2521" spans="1:3" x14ac:dyDescent="0.25">
      <c r="A2521" t="s">
        <v>3097</v>
      </c>
      <c r="B2521" s="44">
        <v>2185.0889999999999</v>
      </c>
      <c r="C2521">
        <v>-9</v>
      </c>
    </row>
    <row r="2522" spans="1:3" x14ac:dyDescent="0.25">
      <c r="A2522" t="s">
        <v>3098</v>
      </c>
      <c r="B2522" s="44">
        <v>2087</v>
      </c>
      <c r="C2522">
        <v>-8</v>
      </c>
    </row>
    <row r="2523" spans="1:3" x14ac:dyDescent="0.25">
      <c r="A2523" t="s">
        <v>3099</v>
      </c>
      <c r="B2523" s="44">
        <v>2185.0889999999999</v>
      </c>
      <c r="C2523">
        <v>-9</v>
      </c>
    </row>
    <row r="2524" spans="1:3" x14ac:dyDescent="0.25">
      <c r="A2524" t="s">
        <v>3100</v>
      </c>
      <c r="B2524" s="44">
        <v>1988.9109999999998</v>
      </c>
      <c r="C2524">
        <v>-8</v>
      </c>
    </row>
    <row r="2525" spans="1:3" x14ac:dyDescent="0.25">
      <c r="A2525" t="s">
        <v>3101</v>
      </c>
      <c r="B2525" s="44">
        <v>1892.9090000000001</v>
      </c>
      <c r="C2525">
        <v>-8</v>
      </c>
    </row>
    <row r="2526" spans="1:3" x14ac:dyDescent="0.25">
      <c r="A2526" t="s">
        <v>3102</v>
      </c>
      <c r="B2526" s="44">
        <v>1988.9109999999998</v>
      </c>
      <c r="C2526">
        <v>-8</v>
      </c>
    </row>
    <row r="2527" spans="1:3" x14ac:dyDescent="0.25">
      <c r="A2527" t="s">
        <v>3103</v>
      </c>
      <c r="B2527" s="44">
        <v>2281.0909999999999</v>
      </c>
      <c r="C2527">
        <v>-10</v>
      </c>
    </row>
    <row r="2528" spans="1:3" x14ac:dyDescent="0.25">
      <c r="A2528" t="s">
        <v>3104</v>
      </c>
      <c r="B2528" s="44">
        <v>2087</v>
      </c>
      <c r="C2528">
        <v>-8</v>
      </c>
    </row>
    <row r="2529" spans="1:3" x14ac:dyDescent="0.25">
      <c r="A2529" t="s">
        <v>3105</v>
      </c>
      <c r="B2529" s="44">
        <v>2379.1800000000003</v>
      </c>
      <c r="C2529">
        <v>-10</v>
      </c>
    </row>
    <row r="2530" spans="1:3" x14ac:dyDescent="0.25">
      <c r="A2530" t="s">
        <v>3106</v>
      </c>
      <c r="B2530" s="44">
        <v>2379.1800000000003</v>
      </c>
      <c r="C2530">
        <v>-10</v>
      </c>
    </row>
    <row r="2531" spans="1:3" x14ac:dyDescent="0.25">
      <c r="A2531" t="s">
        <v>3107</v>
      </c>
      <c r="B2531" s="44">
        <v>2185.0889999999999</v>
      </c>
      <c r="C2531">
        <v>-9</v>
      </c>
    </row>
    <row r="2532" spans="1:3" x14ac:dyDescent="0.25">
      <c r="A2532" t="s">
        <v>3108</v>
      </c>
      <c r="B2532" s="44">
        <v>2087</v>
      </c>
      <c r="C2532">
        <v>-8</v>
      </c>
    </row>
    <row r="2533" spans="1:3" x14ac:dyDescent="0.25">
      <c r="A2533" t="s">
        <v>3109</v>
      </c>
      <c r="B2533" s="44">
        <v>2185.0889999999999</v>
      </c>
      <c r="C2533">
        <v>-9</v>
      </c>
    </row>
    <row r="2534" spans="1:3" x14ac:dyDescent="0.25">
      <c r="A2534" t="s">
        <v>3110</v>
      </c>
      <c r="B2534" s="44">
        <v>2281.0909999999999</v>
      </c>
      <c r="C2534">
        <v>-9</v>
      </c>
    </row>
    <row r="2535" spans="1:3" x14ac:dyDescent="0.25">
      <c r="A2535" t="s">
        <v>3111</v>
      </c>
      <c r="B2535" s="44">
        <v>2185.0889999999999</v>
      </c>
      <c r="C2535">
        <v>-8</v>
      </c>
    </row>
    <row r="2536" spans="1:3" x14ac:dyDescent="0.25">
      <c r="A2536" t="s">
        <v>3112</v>
      </c>
      <c r="B2536" s="44">
        <v>2790.319</v>
      </c>
      <c r="C2536">
        <v>-11</v>
      </c>
    </row>
    <row r="2537" spans="1:3" x14ac:dyDescent="0.25">
      <c r="A2537" t="s">
        <v>3113</v>
      </c>
      <c r="B2537" s="44">
        <v>1988.9109999999998</v>
      </c>
      <c r="C2537">
        <v>-8</v>
      </c>
    </row>
    <row r="2538" spans="1:3" x14ac:dyDescent="0.25">
      <c r="A2538" t="s">
        <v>3114</v>
      </c>
      <c r="B2538" s="44">
        <v>1988.9109999999998</v>
      </c>
      <c r="C2538">
        <v>-8</v>
      </c>
    </row>
    <row r="2539" spans="1:3" x14ac:dyDescent="0.25">
      <c r="A2539" t="s">
        <v>3115</v>
      </c>
      <c r="B2539" s="44">
        <v>2087</v>
      </c>
      <c r="C2539">
        <v>-8</v>
      </c>
    </row>
    <row r="2540" spans="1:3" x14ac:dyDescent="0.25">
      <c r="A2540" t="s">
        <v>3116</v>
      </c>
      <c r="B2540" s="44">
        <v>1988.9109999999998</v>
      </c>
      <c r="C2540">
        <v>-8</v>
      </c>
    </row>
    <row r="2541" spans="1:3" x14ac:dyDescent="0.25">
      <c r="A2541" t="s">
        <v>3117</v>
      </c>
      <c r="B2541" s="44">
        <v>2087</v>
      </c>
      <c r="C2541">
        <v>-8</v>
      </c>
    </row>
    <row r="2542" spans="1:3" x14ac:dyDescent="0.25">
      <c r="A2542" t="s">
        <v>3118</v>
      </c>
      <c r="B2542" s="44">
        <v>2087</v>
      </c>
      <c r="C2542">
        <v>-8</v>
      </c>
    </row>
    <row r="2543" spans="1:3" x14ac:dyDescent="0.25">
      <c r="A2543" t="s">
        <v>3119</v>
      </c>
      <c r="B2543" s="44">
        <v>2087</v>
      </c>
      <c r="C2543">
        <v>-8</v>
      </c>
    </row>
    <row r="2544" spans="1:3" x14ac:dyDescent="0.25">
      <c r="A2544" t="s">
        <v>3120</v>
      </c>
      <c r="B2544" s="44">
        <v>2087</v>
      </c>
      <c r="C2544">
        <v>-8</v>
      </c>
    </row>
    <row r="2545" spans="1:3" x14ac:dyDescent="0.25">
      <c r="A2545" t="s">
        <v>3121</v>
      </c>
      <c r="B2545" s="44">
        <v>2087</v>
      </c>
      <c r="C2545">
        <v>-8</v>
      </c>
    </row>
    <row r="2546" spans="1:3" x14ac:dyDescent="0.25">
      <c r="A2546" t="s">
        <v>3122</v>
      </c>
      <c r="B2546" s="44">
        <v>2087</v>
      </c>
      <c r="C2546">
        <v>-9</v>
      </c>
    </row>
    <row r="2547" spans="1:3" x14ac:dyDescent="0.25">
      <c r="A2547" t="s">
        <v>3123</v>
      </c>
      <c r="B2547" s="44">
        <v>1892.9090000000001</v>
      </c>
      <c r="C2547">
        <v>-7</v>
      </c>
    </row>
    <row r="2548" spans="1:3" x14ac:dyDescent="0.25">
      <c r="A2548" t="s">
        <v>3124</v>
      </c>
      <c r="B2548" s="44">
        <v>2281.0909999999999</v>
      </c>
      <c r="C2548">
        <v>-10</v>
      </c>
    </row>
    <row r="2549" spans="1:3" x14ac:dyDescent="0.25">
      <c r="A2549" t="s">
        <v>3125</v>
      </c>
      <c r="B2549" s="44">
        <v>2379.1800000000003</v>
      </c>
      <c r="C2549">
        <v>-10</v>
      </c>
    </row>
    <row r="2550" spans="1:3" x14ac:dyDescent="0.25">
      <c r="A2550" t="s">
        <v>3126</v>
      </c>
      <c r="B2550" s="44">
        <v>2281.0909999999999</v>
      </c>
      <c r="C2550">
        <v>-9</v>
      </c>
    </row>
    <row r="2551" spans="1:3" x14ac:dyDescent="0.25">
      <c r="A2551" t="s">
        <v>3127</v>
      </c>
      <c r="B2551" s="44">
        <v>2281.0909999999999</v>
      </c>
      <c r="C2551">
        <v>-9</v>
      </c>
    </row>
    <row r="2552" spans="1:3" x14ac:dyDescent="0.25">
      <c r="A2552" t="s">
        <v>3128</v>
      </c>
      <c r="B2552" s="44">
        <v>2087</v>
      </c>
      <c r="C2552">
        <v>-8</v>
      </c>
    </row>
    <row r="2553" spans="1:3" x14ac:dyDescent="0.25">
      <c r="A2553" t="s">
        <v>3129</v>
      </c>
      <c r="B2553" s="44">
        <v>2087</v>
      </c>
      <c r="C2553">
        <v>-8</v>
      </c>
    </row>
    <row r="2554" spans="1:3" x14ac:dyDescent="0.25">
      <c r="A2554" t="s">
        <v>3130</v>
      </c>
      <c r="B2554" s="44">
        <v>2548.2270000000003</v>
      </c>
      <c r="C2554">
        <v>-10</v>
      </c>
    </row>
    <row r="2555" spans="1:3" x14ac:dyDescent="0.25">
      <c r="A2555" t="s">
        <v>3131</v>
      </c>
      <c r="B2555" s="44">
        <v>2087</v>
      </c>
      <c r="C2555">
        <v>-8</v>
      </c>
    </row>
    <row r="2556" spans="1:3" x14ac:dyDescent="0.25">
      <c r="A2556" t="s">
        <v>3132</v>
      </c>
      <c r="B2556" s="44">
        <v>1988.9109999999998</v>
      </c>
      <c r="C2556">
        <v>-8</v>
      </c>
    </row>
    <row r="2557" spans="1:3" x14ac:dyDescent="0.25">
      <c r="A2557" t="s">
        <v>3133</v>
      </c>
      <c r="B2557" s="44">
        <v>2087</v>
      </c>
      <c r="C2557">
        <v>-8</v>
      </c>
    </row>
    <row r="2558" spans="1:3" x14ac:dyDescent="0.25">
      <c r="A2558" t="s">
        <v>3134</v>
      </c>
      <c r="B2558" s="44">
        <v>2185.0889999999999</v>
      </c>
      <c r="C2558">
        <v>-9</v>
      </c>
    </row>
    <row r="2559" spans="1:3" x14ac:dyDescent="0.25">
      <c r="A2559" t="s">
        <v>3135</v>
      </c>
      <c r="B2559" s="44">
        <v>2185.0889999999999</v>
      </c>
      <c r="C2559">
        <v>-9</v>
      </c>
    </row>
    <row r="2560" spans="1:3" x14ac:dyDescent="0.25">
      <c r="A2560" t="s">
        <v>3136</v>
      </c>
      <c r="B2560" s="44">
        <v>2087</v>
      </c>
      <c r="C2560">
        <v>-9</v>
      </c>
    </row>
    <row r="2561" spans="1:3" x14ac:dyDescent="0.25">
      <c r="A2561" t="s">
        <v>3137</v>
      </c>
      <c r="B2561" s="44">
        <v>2185.0889999999999</v>
      </c>
      <c r="C2561">
        <v>-9</v>
      </c>
    </row>
    <row r="2562" spans="1:3" x14ac:dyDescent="0.25">
      <c r="A2562" t="s">
        <v>3138</v>
      </c>
      <c r="B2562" s="44">
        <v>2087</v>
      </c>
      <c r="C2562">
        <v>-9</v>
      </c>
    </row>
    <row r="2563" spans="1:3" x14ac:dyDescent="0.25">
      <c r="A2563" t="s">
        <v>3138</v>
      </c>
      <c r="B2563" s="44">
        <v>2087</v>
      </c>
      <c r="C2563">
        <v>-8</v>
      </c>
    </row>
    <row r="2564" spans="1:3" x14ac:dyDescent="0.25">
      <c r="A2564" t="s">
        <v>3139</v>
      </c>
      <c r="B2564" s="44">
        <v>2087</v>
      </c>
      <c r="C2564">
        <v>-9</v>
      </c>
    </row>
    <row r="2565" spans="1:3" x14ac:dyDescent="0.25">
      <c r="A2565" t="s">
        <v>3140</v>
      </c>
      <c r="B2565" s="44">
        <v>1988.9109999999998</v>
      </c>
      <c r="C2565">
        <v>-8</v>
      </c>
    </row>
    <row r="2566" spans="1:3" x14ac:dyDescent="0.25">
      <c r="A2566" t="s">
        <v>3141</v>
      </c>
      <c r="B2566" s="44">
        <v>2087</v>
      </c>
      <c r="C2566">
        <v>-8</v>
      </c>
    </row>
    <row r="2567" spans="1:3" x14ac:dyDescent="0.25">
      <c r="A2567" t="s">
        <v>3142</v>
      </c>
      <c r="B2567" s="44">
        <v>2185.0889999999999</v>
      </c>
      <c r="C2567">
        <v>-9</v>
      </c>
    </row>
    <row r="2568" spans="1:3" x14ac:dyDescent="0.25">
      <c r="A2568" t="s">
        <v>3143</v>
      </c>
      <c r="B2568" s="44">
        <v>1892.9090000000001</v>
      </c>
      <c r="C2568">
        <v>-8</v>
      </c>
    </row>
    <row r="2569" spans="1:3" x14ac:dyDescent="0.25">
      <c r="A2569" t="s">
        <v>3144</v>
      </c>
      <c r="B2569" s="44">
        <v>1988.9109999999998</v>
      </c>
      <c r="C2569">
        <v>-8</v>
      </c>
    </row>
    <row r="2570" spans="1:3" x14ac:dyDescent="0.25">
      <c r="A2570" t="s">
        <v>3145</v>
      </c>
      <c r="B2570" s="44">
        <v>2185.0889999999999</v>
      </c>
      <c r="C2570">
        <v>-8</v>
      </c>
    </row>
    <row r="2571" spans="1:3" x14ac:dyDescent="0.25">
      <c r="A2571" t="s">
        <v>3146</v>
      </c>
      <c r="B2571" s="44">
        <v>2790.319</v>
      </c>
      <c r="C2571">
        <v>-11</v>
      </c>
    </row>
    <row r="2572" spans="1:3" x14ac:dyDescent="0.25">
      <c r="A2572" t="s">
        <v>3147</v>
      </c>
      <c r="B2572" s="44">
        <v>2790.319</v>
      </c>
      <c r="C2572">
        <v>-11</v>
      </c>
    </row>
    <row r="2573" spans="1:3" x14ac:dyDescent="0.25">
      <c r="A2573" t="s">
        <v>3148</v>
      </c>
      <c r="B2573" s="44">
        <v>2185.0889999999999</v>
      </c>
      <c r="C2573">
        <v>-8</v>
      </c>
    </row>
    <row r="2574" spans="1:3" x14ac:dyDescent="0.25">
      <c r="A2574" t="s">
        <v>3149</v>
      </c>
      <c r="B2574" s="44">
        <v>2185.0889999999999</v>
      </c>
      <c r="C2574">
        <v>-8</v>
      </c>
    </row>
    <row r="2575" spans="1:3" x14ac:dyDescent="0.25">
      <c r="A2575" t="s">
        <v>3150</v>
      </c>
      <c r="B2575" s="44">
        <v>1988.9109999999998</v>
      </c>
      <c r="C2575">
        <v>-8</v>
      </c>
    </row>
    <row r="2576" spans="1:3" x14ac:dyDescent="0.25">
      <c r="A2576" t="s">
        <v>3151</v>
      </c>
      <c r="B2576" s="44">
        <v>2281.0909999999999</v>
      </c>
      <c r="C2576">
        <v>-10</v>
      </c>
    </row>
    <row r="2577" spans="1:3" x14ac:dyDescent="0.25">
      <c r="A2577" t="s">
        <v>3152</v>
      </c>
      <c r="B2577" s="44">
        <v>2087</v>
      </c>
      <c r="C2577">
        <v>-9</v>
      </c>
    </row>
    <row r="2578" spans="1:3" x14ac:dyDescent="0.25">
      <c r="A2578" t="s">
        <v>3153</v>
      </c>
      <c r="B2578" s="44">
        <v>2087</v>
      </c>
      <c r="C2578">
        <v>-8</v>
      </c>
    </row>
    <row r="2579" spans="1:3" x14ac:dyDescent="0.25">
      <c r="A2579" t="s">
        <v>3154</v>
      </c>
      <c r="B2579" s="44">
        <v>1988.9109999999998</v>
      </c>
      <c r="C2579">
        <v>-8</v>
      </c>
    </row>
    <row r="2580" spans="1:3" x14ac:dyDescent="0.25">
      <c r="A2580" t="s">
        <v>3155</v>
      </c>
      <c r="B2580" s="44">
        <v>1988.9109999999998</v>
      </c>
      <c r="C2580">
        <v>-8</v>
      </c>
    </row>
    <row r="2581" spans="1:3" x14ac:dyDescent="0.25">
      <c r="A2581" t="s">
        <v>3156</v>
      </c>
      <c r="B2581" s="44">
        <v>2087</v>
      </c>
      <c r="C2581">
        <v>-8</v>
      </c>
    </row>
    <row r="2582" spans="1:3" x14ac:dyDescent="0.25">
      <c r="A2582" t="s">
        <v>3157</v>
      </c>
      <c r="B2582" s="44">
        <v>1988.9109999999998</v>
      </c>
      <c r="C2582">
        <v>-8</v>
      </c>
    </row>
    <row r="2583" spans="1:3" x14ac:dyDescent="0.25">
      <c r="A2583" t="s">
        <v>3158</v>
      </c>
      <c r="B2583" s="44">
        <v>2087</v>
      </c>
      <c r="C2583">
        <v>-8</v>
      </c>
    </row>
    <row r="2584" spans="1:3" x14ac:dyDescent="0.25">
      <c r="A2584" t="s">
        <v>3159</v>
      </c>
      <c r="B2584" s="44">
        <v>1988.9109999999998</v>
      </c>
      <c r="C2584">
        <v>-8</v>
      </c>
    </row>
    <row r="2585" spans="1:3" x14ac:dyDescent="0.25">
      <c r="A2585" t="s">
        <v>3160</v>
      </c>
      <c r="B2585" s="44">
        <v>1988.9109999999998</v>
      </c>
      <c r="C2585">
        <v>-8</v>
      </c>
    </row>
    <row r="2586" spans="1:3" x14ac:dyDescent="0.25">
      <c r="A2586" t="s">
        <v>3161</v>
      </c>
      <c r="B2586" s="44">
        <v>2087</v>
      </c>
      <c r="C2586">
        <v>-8</v>
      </c>
    </row>
    <row r="2587" spans="1:3" x14ac:dyDescent="0.25">
      <c r="A2587" t="s">
        <v>3162</v>
      </c>
      <c r="B2587" s="44">
        <v>2185.0889999999999</v>
      </c>
      <c r="C2587">
        <v>-9</v>
      </c>
    </row>
    <row r="2588" spans="1:3" x14ac:dyDescent="0.25">
      <c r="A2588" t="s">
        <v>3163</v>
      </c>
      <c r="B2588" s="44">
        <v>2379.1800000000003</v>
      </c>
      <c r="C2588">
        <v>-10</v>
      </c>
    </row>
    <row r="2589" spans="1:3" x14ac:dyDescent="0.25">
      <c r="A2589" t="s">
        <v>3164</v>
      </c>
      <c r="B2589" s="44">
        <v>2379.1800000000003</v>
      </c>
      <c r="C2589">
        <v>-10</v>
      </c>
    </row>
    <row r="2590" spans="1:3" x14ac:dyDescent="0.25">
      <c r="A2590" t="s">
        <v>3165</v>
      </c>
      <c r="B2590" s="44">
        <v>2790.319</v>
      </c>
      <c r="C2590">
        <v>-12</v>
      </c>
    </row>
    <row r="2591" spans="1:3" x14ac:dyDescent="0.25">
      <c r="A2591" t="s">
        <v>3166</v>
      </c>
      <c r="B2591" s="44">
        <v>1988.9109999999998</v>
      </c>
      <c r="C2591">
        <v>-8</v>
      </c>
    </row>
    <row r="2592" spans="1:3" x14ac:dyDescent="0.25">
      <c r="A2592" t="s">
        <v>3167</v>
      </c>
      <c r="B2592" s="44">
        <v>2281.0909999999999</v>
      </c>
      <c r="C2592">
        <v>-9</v>
      </c>
    </row>
    <row r="2593" spans="1:3" x14ac:dyDescent="0.25">
      <c r="A2593" t="s">
        <v>3168</v>
      </c>
      <c r="B2593" s="44">
        <v>1988.9109999999998</v>
      </c>
      <c r="C2593">
        <v>-8</v>
      </c>
    </row>
    <row r="2594" spans="1:3" x14ac:dyDescent="0.25">
      <c r="A2594" t="s">
        <v>3169</v>
      </c>
      <c r="B2594" s="44">
        <v>2185.0889999999999</v>
      </c>
      <c r="C2594">
        <v>-9</v>
      </c>
    </row>
    <row r="2595" spans="1:3" x14ac:dyDescent="0.25">
      <c r="A2595" t="s">
        <v>3170</v>
      </c>
      <c r="B2595" s="44">
        <v>2185.0889999999999</v>
      </c>
      <c r="C2595">
        <v>-9</v>
      </c>
    </row>
    <row r="2596" spans="1:3" x14ac:dyDescent="0.25">
      <c r="A2596" t="s">
        <v>3171</v>
      </c>
      <c r="B2596" s="44">
        <v>2379.1800000000003</v>
      </c>
      <c r="C2596">
        <v>-10</v>
      </c>
    </row>
    <row r="2597" spans="1:3" x14ac:dyDescent="0.25">
      <c r="A2597" t="s">
        <v>3172</v>
      </c>
      <c r="B2597" s="44">
        <v>2087</v>
      </c>
      <c r="C2597">
        <v>-8</v>
      </c>
    </row>
    <row r="2598" spans="1:3" x14ac:dyDescent="0.25">
      <c r="A2598" t="s">
        <v>3173</v>
      </c>
      <c r="B2598" s="44">
        <v>2087</v>
      </c>
      <c r="C2598">
        <v>-8</v>
      </c>
    </row>
    <row r="2599" spans="1:3" x14ac:dyDescent="0.25">
      <c r="A2599" t="s">
        <v>3174</v>
      </c>
      <c r="B2599" s="44">
        <v>2087</v>
      </c>
      <c r="C2599">
        <v>-8</v>
      </c>
    </row>
    <row r="2600" spans="1:3" x14ac:dyDescent="0.25">
      <c r="A2600" t="s">
        <v>3175</v>
      </c>
      <c r="B2600" s="44">
        <v>2087</v>
      </c>
      <c r="C2600">
        <v>-8</v>
      </c>
    </row>
    <row r="2601" spans="1:3" x14ac:dyDescent="0.25">
      <c r="A2601" t="s">
        <v>3176</v>
      </c>
      <c r="B2601" s="44">
        <v>2548.2270000000003</v>
      </c>
      <c r="C2601">
        <v>-10</v>
      </c>
    </row>
    <row r="2602" spans="1:3" x14ac:dyDescent="0.25">
      <c r="A2602" t="s">
        <v>3177</v>
      </c>
      <c r="B2602" s="44">
        <v>2185.0889999999999</v>
      </c>
      <c r="C2602">
        <v>-8</v>
      </c>
    </row>
    <row r="2603" spans="1:3" x14ac:dyDescent="0.25">
      <c r="A2603" t="s">
        <v>3178</v>
      </c>
      <c r="B2603" s="44">
        <v>2185.0889999999999</v>
      </c>
      <c r="C2603">
        <v>-9</v>
      </c>
    </row>
    <row r="2604" spans="1:3" x14ac:dyDescent="0.25">
      <c r="A2604" t="s">
        <v>3179</v>
      </c>
      <c r="B2604" s="44">
        <v>2087</v>
      </c>
      <c r="C2604">
        <v>-8</v>
      </c>
    </row>
    <row r="2605" spans="1:3" x14ac:dyDescent="0.25">
      <c r="A2605" t="s">
        <v>3180</v>
      </c>
      <c r="B2605" s="44">
        <v>2185.0889999999999</v>
      </c>
      <c r="C2605">
        <v>-9</v>
      </c>
    </row>
    <row r="2606" spans="1:3" x14ac:dyDescent="0.25">
      <c r="A2606" t="s">
        <v>3181</v>
      </c>
      <c r="B2606" s="44">
        <v>2379.1800000000003</v>
      </c>
      <c r="C2606">
        <v>-10</v>
      </c>
    </row>
    <row r="2607" spans="1:3" x14ac:dyDescent="0.25">
      <c r="A2607" t="s">
        <v>3182</v>
      </c>
      <c r="B2607" s="44">
        <v>2548.2270000000003</v>
      </c>
      <c r="C2607">
        <v>-11</v>
      </c>
    </row>
    <row r="2608" spans="1:3" x14ac:dyDescent="0.25">
      <c r="A2608" t="s">
        <v>3183</v>
      </c>
      <c r="B2608" s="44">
        <v>2087</v>
      </c>
      <c r="C2608">
        <v>-8</v>
      </c>
    </row>
    <row r="2609" spans="1:3" x14ac:dyDescent="0.25">
      <c r="A2609" t="s">
        <v>3184</v>
      </c>
      <c r="B2609" s="44">
        <v>1988.9109999999998</v>
      </c>
      <c r="C2609">
        <v>-8</v>
      </c>
    </row>
    <row r="2610" spans="1:3" x14ac:dyDescent="0.25">
      <c r="A2610" t="s">
        <v>3185</v>
      </c>
      <c r="B2610" s="44">
        <v>2087</v>
      </c>
      <c r="C2610">
        <v>-9</v>
      </c>
    </row>
    <row r="2611" spans="1:3" x14ac:dyDescent="0.25">
      <c r="A2611" t="s">
        <v>3186</v>
      </c>
      <c r="B2611" s="44">
        <v>2281.0909999999999</v>
      </c>
      <c r="C2611">
        <v>-9</v>
      </c>
    </row>
    <row r="2612" spans="1:3" x14ac:dyDescent="0.25">
      <c r="A2612" t="s">
        <v>3187</v>
      </c>
      <c r="B2612" s="44">
        <v>1988.9109999999998</v>
      </c>
      <c r="C2612">
        <v>-8</v>
      </c>
    </row>
    <row r="2613" spans="1:3" x14ac:dyDescent="0.25">
      <c r="A2613" t="s">
        <v>3188</v>
      </c>
      <c r="B2613" s="44">
        <v>2087</v>
      </c>
      <c r="C2613">
        <v>-8</v>
      </c>
    </row>
    <row r="2614" spans="1:3" x14ac:dyDescent="0.25">
      <c r="A2614" t="s">
        <v>3189</v>
      </c>
      <c r="B2614" s="44">
        <v>2087</v>
      </c>
      <c r="C2614">
        <v>-8</v>
      </c>
    </row>
    <row r="2615" spans="1:3" x14ac:dyDescent="0.25">
      <c r="A2615" t="s">
        <v>3190</v>
      </c>
      <c r="B2615" s="44">
        <v>2790.319</v>
      </c>
      <c r="C2615">
        <v>-11</v>
      </c>
    </row>
    <row r="2616" spans="1:3" x14ac:dyDescent="0.25">
      <c r="A2616" t="s">
        <v>3191</v>
      </c>
      <c r="B2616" s="44">
        <v>1988.9109999999998</v>
      </c>
      <c r="C2616">
        <v>-8</v>
      </c>
    </row>
    <row r="2617" spans="1:3" x14ac:dyDescent="0.25">
      <c r="A2617" t="s">
        <v>3192</v>
      </c>
      <c r="B2617" s="44">
        <v>2185.0889999999999</v>
      </c>
      <c r="C2617">
        <v>-9</v>
      </c>
    </row>
    <row r="2618" spans="1:3" x14ac:dyDescent="0.25">
      <c r="A2618" t="s">
        <v>3193</v>
      </c>
      <c r="B2618" s="44">
        <v>2185.0889999999999</v>
      </c>
      <c r="C2618">
        <v>-9</v>
      </c>
    </row>
    <row r="2619" spans="1:3" x14ac:dyDescent="0.25">
      <c r="A2619" t="s">
        <v>3194</v>
      </c>
      <c r="B2619" s="44">
        <v>2185.0889999999999</v>
      </c>
      <c r="C2619">
        <v>-9</v>
      </c>
    </row>
    <row r="2620" spans="1:3" x14ac:dyDescent="0.25">
      <c r="A2620" t="s">
        <v>3195</v>
      </c>
      <c r="B2620" s="44">
        <v>2185.0889999999999</v>
      </c>
      <c r="C2620">
        <v>-9</v>
      </c>
    </row>
    <row r="2621" spans="1:3" x14ac:dyDescent="0.25">
      <c r="A2621" t="s">
        <v>3196</v>
      </c>
      <c r="B2621" s="44">
        <v>2281.0909999999999</v>
      </c>
      <c r="C2621">
        <v>-10</v>
      </c>
    </row>
    <row r="2622" spans="1:3" x14ac:dyDescent="0.25">
      <c r="A2622" t="s">
        <v>3197</v>
      </c>
      <c r="B2622" s="44">
        <v>2185.0889999999999</v>
      </c>
      <c r="C2622">
        <v>-9</v>
      </c>
    </row>
    <row r="2623" spans="1:3" x14ac:dyDescent="0.25">
      <c r="A2623" t="s">
        <v>3198</v>
      </c>
      <c r="B2623" s="44">
        <v>1988.9109999999998</v>
      </c>
      <c r="C2623">
        <v>-8</v>
      </c>
    </row>
    <row r="2624" spans="1:3" x14ac:dyDescent="0.25">
      <c r="A2624" t="s">
        <v>3199</v>
      </c>
      <c r="B2624" s="44">
        <v>2087</v>
      </c>
      <c r="C2624">
        <v>-8</v>
      </c>
    </row>
    <row r="2625" spans="1:3" x14ac:dyDescent="0.25">
      <c r="A2625" t="s">
        <v>3200</v>
      </c>
      <c r="B2625" s="44">
        <v>2281.0909999999999</v>
      </c>
      <c r="C2625">
        <v>-9</v>
      </c>
    </row>
    <row r="2626" spans="1:3" x14ac:dyDescent="0.25">
      <c r="A2626" t="s">
        <v>3201</v>
      </c>
      <c r="B2626" s="44">
        <v>2281.0909999999999</v>
      </c>
      <c r="C2626">
        <v>-10</v>
      </c>
    </row>
    <row r="2627" spans="1:3" x14ac:dyDescent="0.25">
      <c r="A2627" t="s">
        <v>3202</v>
      </c>
      <c r="B2627" s="44">
        <v>2087</v>
      </c>
      <c r="C2627">
        <v>-8</v>
      </c>
    </row>
    <row r="2628" spans="1:3" x14ac:dyDescent="0.25">
      <c r="A2628" t="s">
        <v>3203</v>
      </c>
      <c r="B2628" s="44">
        <v>2087</v>
      </c>
      <c r="C2628">
        <v>-8</v>
      </c>
    </row>
    <row r="2629" spans="1:3" x14ac:dyDescent="0.25">
      <c r="A2629" t="s">
        <v>3204</v>
      </c>
      <c r="B2629" s="44">
        <v>2087</v>
      </c>
      <c r="C2629">
        <v>-8</v>
      </c>
    </row>
    <row r="2630" spans="1:3" x14ac:dyDescent="0.25">
      <c r="A2630" t="s">
        <v>3205</v>
      </c>
      <c r="B2630" s="44">
        <v>2185.0889999999999</v>
      </c>
      <c r="C2630">
        <v>-9</v>
      </c>
    </row>
    <row r="2631" spans="1:3" x14ac:dyDescent="0.25">
      <c r="A2631" t="s">
        <v>3206</v>
      </c>
      <c r="B2631" s="44">
        <v>1892.9090000000001</v>
      </c>
      <c r="C2631">
        <v>-8</v>
      </c>
    </row>
    <row r="2632" spans="1:3" x14ac:dyDescent="0.25">
      <c r="A2632" t="s">
        <v>3207</v>
      </c>
      <c r="B2632" s="44">
        <v>2087</v>
      </c>
      <c r="C2632">
        <v>-8</v>
      </c>
    </row>
    <row r="2633" spans="1:3" x14ac:dyDescent="0.25">
      <c r="A2633" t="s">
        <v>3208</v>
      </c>
      <c r="B2633" s="44">
        <v>2087</v>
      </c>
      <c r="C2633">
        <v>-8</v>
      </c>
    </row>
    <row r="2634" spans="1:3" x14ac:dyDescent="0.25">
      <c r="A2634" t="s">
        <v>3209</v>
      </c>
      <c r="B2634" s="44">
        <v>2087</v>
      </c>
      <c r="C2634">
        <v>-8</v>
      </c>
    </row>
    <row r="2635" spans="1:3" x14ac:dyDescent="0.25">
      <c r="A2635" t="s">
        <v>3210</v>
      </c>
      <c r="B2635" s="44">
        <v>1892.9090000000001</v>
      </c>
      <c r="C2635">
        <v>-8</v>
      </c>
    </row>
    <row r="2636" spans="1:3" x14ac:dyDescent="0.25">
      <c r="A2636" t="s">
        <v>3211</v>
      </c>
      <c r="B2636" s="44">
        <v>1988.9109999999998</v>
      </c>
      <c r="C2636">
        <v>-8</v>
      </c>
    </row>
    <row r="2637" spans="1:3" x14ac:dyDescent="0.25">
      <c r="A2637" t="s">
        <v>3212</v>
      </c>
      <c r="B2637" s="44">
        <v>2087</v>
      </c>
      <c r="C2637">
        <v>-8</v>
      </c>
    </row>
    <row r="2638" spans="1:3" x14ac:dyDescent="0.25">
      <c r="A2638" t="s">
        <v>3213</v>
      </c>
      <c r="B2638" s="44">
        <v>2185.0889999999999</v>
      </c>
      <c r="C2638">
        <v>-9</v>
      </c>
    </row>
    <row r="2639" spans="1:3" x14ac:dyDescent="0.25">
      <c r="A2639" t="s">
        <v>3214</v>
      </c>
      <c r="B2639" s="44">
        <v>2379.1800000000003</v>
      </c>
      <c r="C2639">
        <v>-10</v>
      </c>
    </row>
    <row r="2640" spans="1:3" x14ac:dyDescent="0.25">
      <c r="A2640" t="s">
        <v>3215</v>
      </c>
      <c r="B2640" s="44">
        <v>2087</v>
      </c>
      <c r="C2640">
        <v>-8</v>
      </c>
    </row>
    <row r="2641" spans="1:3" x14ac:dyDescent="0.25">
      <c r="A2641" t="s">
        <v>3216</v>
      </c>
      <c r="B2641" s="44">
        <v>2087</v>
      </c>
      <c r="C2641">
        <v>-8</v>
      </c>
    </row>
    <row r="2642" spans="1:3" x14ac:dyDescent="0.25">
      <c r="A2642" t="s">
        <v>3217</v>
      </c>
      <c r="B2642" s="44">
        <v>2548.2270000000003</v>
      </c>
      <c r="C2642">
        <v>-10</v>
      </c>
    </row>
    <row r="2643" spans="1:3" x14ac:dyDescent="0.25">
      <c r="A2643" t="s">
        <v>3218</v>
      </c>
      <c r="B2643" s="44">
        <v>2185.0889999999999</v>
      </c>
      <c r="C2643">
        <v>-9</v>
      </c>
    </row>
    <row r="2644" spans="1:3" x14ac:dyDescent="0.25">
      <c r="A2644" t="s">
        <v>3219</v>
      </c>
      <c r="B2644" s="44">
        <v>2087</v>
      </c>
      <c r="C2644">
        <v>-9</v>
      </c>
    </row>
    <row r="2645" spans="1:3" x14ac:dyDescent="0.25">
      <c r="A2645" t="s">
        <v>3220</v>
      </c>
      <c r="B2645" s="44">
        <v>2087</v>
      </c>
      <c r="C2645">
        <v>-9</v>
      </c>
    </row>
    <row r="2646" spans="1:3" x14ac:dyDescent="0.25">
      <c r="A2646" t="s">
        <v>3221</v>
      </c>
      <c r="B2646" s="44">
        <v>2087</v>
      </c>
      <c r="C2646">
        <v>-9</v>
      </c>
    </row>
    <row r="2647" spans="1:3" x14ac:dyDescent="0.25">
      <c r="A2647" t="s">
        <v>3222</v>
      </c>
      <c r="B2647" s="44">
        <v>2185.0889999999999</v>
      </c>
      <c r="C2647">
        <v>-9</v>
      </c>
    </row>
    <row r="2648" spans="1:3" x14ac:dyDescent="0.25">
      <c r="A2648" t="s">
        <v>3223</v>
      </c>
      <c r="B2648" s="44">
        <v>1988.9109999999998</v>
      </c>
      <c r="C2648">
        <v>-8</v>
      </c>
    </row>
    <row r="2649" spans="1:3" x14ac:dyDescent="0.25">
      <c r="A2649" t="s">
        <v>3224</v>
      </c>
      <c r="B2649" s="44">
        <v>1988.9109999999998</v>
      </c>
      <c r="C2649">
        <v>-8</v>
      </c>
    </row>
    <row r="2650" spans="1:3" x14ac:dyDescent="0.25">
      <c r="A2650" t="s">
        <v>3225</v>
      </c>
      <c r="B2650" s="44">
        <v>2379.1800000000003</v>
      </c>
      <c r="C2650">
        <v>-10</v>
      </c>
    </row>
    <row r="2651" spans="1:3" x14ac:dyDescent="0.25">
      <c r="A2651" t="s">
        <v>3226</v>
      </c>
      <c r="B2651" s="44">
        <v>2281.0909999999999</v>
      </c>
      <c r="C2651">
        <v>-10</v>
      </c>
    </row>
    <row r="2652" spans="1:3" x14ac:dyDescent="0.25">
      <c r="A2652" t="s">
        <v>3227</v>
      </c>
      <c r="B2652" s="44">
        <v>2087</v>
      </c>
      <c r="C2652">
        <v>-8</v>
      </c>
    </row>
    <row r="2653" spans="1:3" x14ac:dyDescent="0.25">
      <c r="A2653" t="s">
        <v>3228</v>
      </c>
      <c r="B2653" s="44">
        <v>2379.1800000000003</v>
      </c>
      <c r="C2653">
        <v>-10</v>
      </c>
    </row>
    <row r="2654" spans="1:3" x14ac:dyDescent="0.25">
      <c r="A2654" t="s">
        <v>3229</v>
      </c>
      <c r="B2654" s="44">
        <v>2087</v>
      </c>
      <c r="C2654">
        <v>-8</v>
      </c>
    </row>
    <row r="2655" spans="1:3" x14ac:dyDescent="0.25">
      <c r="A2655" t="s">
        <v>3230</v>
      </c>
      <c r="B2655" s="44">
        <v>2087</v>
      </c>
      <c r="C2655">
        <v>-8</v>
      </c>
    </row>
    <row r="2656" spans="1:3" x14ac:dyDescent="0.25">
      <c r="A2656" t="s">
        <v>3231</v>
      </c>
      <c r="B2656" s="44">
        <v>2548.2270000000003</v>
      </c>
      <c r="C2656">
        <v>-10</v>
      </c>
    </row>
    <row r="2657" spans="1:3" x14ac:dyDescent="0.25">
      <c r="A2657" t="s">
        <v>3232</v>
      </c>
      <c r="B2657" s="44">
        <v>2087</v>
      </c>
      <c r="C2657">
        <v>-8</v>
      </c>
    </row>
    <row r="2658" spans="1:3" x14ac:dyDescent="0.25">
      <c r="A2658" t="s">
        <v>3233</v>
      </c>
      <c r="B2658" s="44">
        <v>1892.9090000000001</v>
      </c>
      <c r="C2658">
        <v>-7</v>
      </c>
    </row>
    <row r="2659" spans="1:3" x14ac:dyDescent="0.25">
      <c r="A2659" t="s">
        <v>3234</v>
      </c>
      <c r="B2659" s="44">
        <v>2281.0909999999999</v>
      </c>
      <c r="C2659">
        <v>-9</v>
      </c>
    </row>
    <row r="2660" spans="1:3" x14ac:dyDescent="0.25">
      <c r="A2660" t="s">
        <v>3235</v>
      </c>
      <c r="B2660" s="44">
        <v>2379.1800000000003</v>
      </c>
      <c r="C2660">
        <v>-10</v>
      </c>
    </row>
    <row r="2661" spans="1:3" x14ac:dyDescent="0.25">
      <c r="A2661" t="s">
        <v>3236</v>
      </c>
      <c r="B2661" s="44">
        <v>2087</v>
      </c>
      <c r="C2661">
        <v>-8</v>
      </c>
    </row>
    <row r="2662" spans="1:3" x14ac:dyDescent="0.25">
      <c r="A2662" t="s">
        <v>3237</v>
      </c>
      <c r="B2662" s="44">
        <v>2379.1800000000003</v>
      </c>
      <c r="C2662">
        <v>-10</v>
      </c>
    </row>
    <row r="2663" spans="1:3" x14ac:dyDescent="0.25">
      <c r="A2663" t="s">
        <v>3238</v>
      </c>
      <c r="B2663" s="44">
        <v>1988.9109999999998</v>
      </c>
      <c r="C2663">
        <v>-8</v>
      </c>
    </row>
    <row r="2664" spans="1:3" x14ac:dyDescent="0.25">
      <c r="A2664" t="s">
        <v>3239</v>
      </c>
      <c r="B2664" s="44">
        <v>2087</v>
      </c>
      <c r="C2664">
        <v>-8</v>
      </c>
    </row>
    <row r="2665" spans="1:3" x14ac:dyDescent="0.25">
      <c r="A2665" t="s">
        <v>3240</v>
      </c>
      <c r="B2665" s="44">
        <v>1988.9109999999998</v>
      </c>
      <c r="C2665">
        <v>-8</v>
      </c>
    </row>
    <row r="2666" spans="1:3" x14ac:dyDescent="0.25">
      <c r="A2666" t="s">
        <v>3241</v>
      </c>
      <c r="B2666" s="44">
        <v>2087</v>
      </c>
      <c r="C2666">
        <v>-8</v>
      </c>
    </row>
    <row r="2667" spans="1:3" x14ac:dyDescent="0.25">
      <c r="A2667" t="s">
        <v>3242</v>
      </c>
      <c r="B2667" s="44">
        <v>1892.9090000000001</v>
      </c>
      <c r="C2667">
        <v>-7</v>
      </c>
    </row>
    <row r="2668" spans="1:3" x14ac:dyDescent="0.25">
      <c r="A2668" t="s">
        <v>3243</v>
      </c>
      <c r="B2668" s="44">
        <v>2087</v>
      </c>
      <c r="C2668">
        <v>-9</v>
      </c>
    </row>
    <row r="2669" spans="1:3" x14ac:dyDescent="0.25">
      <c r="A2669" t="s">
        <v>3244</v>
      </c>
      <c r="B2669" s="44">
        <v>1892.9090000000001</v>
      </c>
      <c r="C2669">
        <v>-7</v>
      </c>
    </row>
    <row r="2670" spans="1:3" x14ac:dyDescent="0.25">
      <c r="A2670" t="s">
        <v>3245</v>
      </c>
      <c r="B2670" s="44">
        <v>1988.9109999999998</v>
      </c>
      <c r="C2670">
        <v>-8</v>
      </c>
    </row>
    <row r="2671" spans="1:3" x14ac:dyDescent="0.25">
      <c r="A2671" t="s">
        <v>3246</v>
      </c>
      <c r="B2671" s="44">
        <v>2087</v>
      </c>
      <c r="C2671">
        <v>-9</v>
      </c>
    </row>
    <row r="2672" spans="1:3" x14ac:dyDescent="0.25">
      <c r="A2672" t="s">
        <v>3247</v>
      </c>
      <c r="B2672" s="44">
        <v>2087</v>
      </c>
      <c r="C2672">
        <v>-9</v>
      </c>
    </row>
    <row r="2673" spans="1:3" x14ac:dyDescent="0.25">
      <c r="A2673" t="s">
        <v>3248</v>
      </c>
      <c r="B2673" s="44">
        <v>1988.9109999999998</v>
      </c>
      <c r="C2673">
        <v>-8</v>
      </c>
    </row>
    <row r="2674" spans="1:3" x14ac:dyDescent="0.25">
      <c r="A2674" t="s">
        <v>3249</v>
      </c>
      <c r="B2674" s="44">
        <v>1988.9109999999998</v>
      </c>
      <c r="C2674">
        <v>-8</v>
      </c>
    </row>
    <row r="2675" spans="1:3" x14ac:dyDescent="0.25">
      <c r="A2675" t="s">
        <v>3250</v>
      </c>
      <c r="B2675" s="44">
        <v>1988.9109999999998</v>
      </c>
      <c r="C2675">
        <v>-8</v>
      </c>
    </row>
    <row r="2676" spans="1:3" x14ac:dyDescent="0.25">
      <c r="A2676" t="s">
        <v>3251</v>
      </c>
      <c r="B2676" s="44">
        <v>1988.9109999999998</v>
      </c>
      <c r="C2676">
        <v>-8</v>
      </c>
    </row>
    <row r="2677" spans="1:3" x14ac:dyDescent="0.25">
      <c r="A2677" t="s">
        <v>3252</v>
      </c>
      <c r="B2677" s="44">
        <v>1988.9109999999998</v>
      </c>
      <c r="C2677">
        <v>-8</v>
      </c>
    </row>
    <row r="2678" spans="1:3" x14ac:dyDescent="0.25">
      <c r="A2678" t="s">
        <v>3253</v>
      </c>
      <c r="B2678" s="44">
        <v>1988.9109999999998</v>
      </c>
      <c r="C2678">
        <v>-8</v>
      </c>
    </row>
    <row r="2679" spans="1:3" x14ac:dyDescent="0.25">
      <c r="A2679" t="s">
        <v>3254</v>
      </c>
      <c r="B2679" s="44">
        <v>2087</v>
      </c>
      <c r="C2679">
        <v>-8</v>
      </c>
    </row>
    <row r="2680" spans="1:3" x14ac:dyDescent="0.25">
      <c r="A2680" t="s">
        <v>3255</v>
      </c>
      <c r="B2680" s="44">
        <v>2087</v>
      </c>
      <c r="C2680">
        <v>-8</v>
      </c>
    </row>
    <row r="2681" spans="1:3" x14ac:dyDescent="0.25">
      <c r="A2681" t="s">
        <v>3256</v>
      </c>
      <c r="B2681" s="44">
        <v>2087</v>
      </c>
      <c r="C2681">
        <v>-8</v>
      </c>
    </row>
    <row r="2682" spans="1:3" x14ac:dyDescent="0.25">
      <c r="A2682" t="s">
        <v>3257</v>
      </c>
      <c r="B2682" s="44">
        <v>2087</v>
      </c>
      <c r="C2682">
        <v>-9</v>
      </c>
    </row>
    <row r="2683" spans="1:3" x14ac:dyDescent="0.25">
      <c r="A2683" t="s">
        <v>3258</v>
      </c>
      <c r="B2683" s="44">
        <v>2548.2270000000003</v>
      </c>
      <c r="C2683">
        <v>-11</v>
      </c>
    </row>
    <row r="2684" spans="1:3" x14ac:dyDescent="0.25">
      <c r="A2684" t="s">
        <v>3259</v>
      </c>
      <c r="B2684" s="44">
        <v>1988.9109999999998</v>
      </c>
      <c r="C2684">
        <v>-8</v>
      </c>
    </row>
    <row r="2685" spans="1:3" x14ac:dyDescent="0.25">
      <c r="A2685" t="s">
        <v>3260</v>
      </c>
      <c r="B2685" s="44">
        <v>2087</v>
      </c>
      <c r="C2685">
        <v>-8</v>
      </c>
    </row>
    <row r="2686" spans="1:3" x14ac:dyDescent="0.25">
      <c r="A2686" t="s">
        <v>3261</v>
      </c>
      <c r="B2686" s="44">
        <v>2087</v>
      </c>
      <c r="C2686">
        <v>-9</v>
      </c>
    </row>
    <row r="2687" spans="1:3" x14ac:dyDescent="0.25">
      <c r="A2687" t="s">
        <v>3262</v>
      </c>
      <c r="B2687" s="44">
        <v>1988.9109999999998</v>
      </c>
      <c r="C2687">
        <v>-8</v>
      </c>
    </row>
    <row r="2688" spans="1:3" x14ac:dyDescent="0.25">
      <c r="A2688" t="s">
        <v>3263</v>
      </c>
      <c r="B2688" s="44">
        <v>2281.0909999999999</v>
      </c>
      <c r="C2688">
        <v>-9</v>
      </c>
    </row>
    <row r="2689" spans="1:3" x14ac:dyDescent="0.25">
      <c r="A2689" t="s">
        <v>3264</v>
      </c>
      <c r="B2689" s="44">
        <v>2087</v>
      </c>
      <c r="C2689">
        <v>-8</v>
      </c>
    </row>
    <row r="2690" spans="1:3" x14ac:dyDescent="0.25">
      <c r="A2690" t="s">
        <v>3265</v>
      </c>
      <c r="B2690" s="44">
        <v>2379.1800000000003</v>
      </c>
      <c r="C2690">
        <v>-10</v>
      </c>
    </row>
    <row r="2691" spans="1:3" x14ac:dyDescent="0.25">
      <c r="A2691" t="s">
        <v>3266</v>
      </c>
      <c r="B2691" s="44">
        <v>1988.9109999999998</v>
      </c>
      <c r="C2691">
        <v>-8</v>
      </c>
    </row>
    <row r="2692" spans="1:3" x14ac:dyDescent="0.25">
      <c r="A2692" t="s">
        <v>3267</v>
      </c>
      <c r="B2692" s="44">
        <v>2087</v>
      </c>
      <c r="C2692">
        <v>-8</v>
      </c>
    </row>
    <row r="2693" spans="1:3" x14ac:dyDescent="0.25">
      <c r="A2693" t="s">
        <v>3268</v>
      </c>
      <c r="B2693" s="44">
        <v>2185.0889999999999</v>
      </c>
      <c r="C2693">
        <v>-8</v>
      </c>
    </row>
    <row r="2694" spans="1:3" x14ac:dyDescent="0.25">
      <c r="A2694" t="s">
        <v>3269</v>
      </c>
      <c r="B2694" s="44">
        <v>2185.0889999999999</v>
      </c>
      <c r="C2694">
        <v>-9</v>
      </c>
    </row>
    <row r="2695" spans="1:3" x14ac:dyDescent="0.25">
      <c r="A2695" t="s">
        <v>3270</v>
      </c>
      <c r="B2695" s="44">
        <v>2087</v>
      </c>
      <c r="C2695">
        <v>-8</v>
      </c>
    </row>
    <row r="2696" spans="1:3" x14ac:dyDescent="0.25">
      <c r="A2696" t="s">
        <v>3271</v>
      </c>
      <c r="B2696" s="44">
        <v>2087</v>
      </c>
      <c r="C2696">
        <v>-9</v>
      </c>
    </row>
    <row r="2697" spans="1:3" x14ac:dyDescent="0.25">
      <c r="A2697" t="s">
        <v>3272</v>
      </c>
      <c r="B2697" s="44">
        <v>2185.0889999999999</v>
      </c>
      <c r="C2697">
        <v>-9</v>
      </c>
    </row>
    <row r="2698" spans="1:3" x14ac:dyDescent="0.25">
      <c r="A2698" t="s">
        <v>3273</v>
      </c>
      <c r="B2698" s="44">
        <v>1988.9109999999998</v>
      </c>
      <c r="C2698">
        <v>-8</v>
      </c>
    </row>
    <row r="2699" spans="1:3" x14ac:dyDescent="0.25">
      <c r="A2699" t="s">
        <v>3274</v>
      </c>
      <c r="B2699" s="44">
        <v>2087</v>
      </c>
      <c r="C2699">
        <v>-8</v>
      </c>
    </row>
    <row r="2700" spans="1:3" x14ac:dyDescent="0.25">
      <c r="A2700" t="s">
        <v>3275</v>
      </c>
      <c r="B2700" s="44">
        <v>2087</v>
      </c>
      <c r="C2700">
        <v>-8</v>
      </c>
    </row>
    <row r="2701" spans="1:3" x14ac:dyDescent="0.25">
      <c r="A2701" t="s">
        <v>3276</v>
      </c>
      <c r="B2701" s="44">
        <v>2087</v>
      </c>
      <c r="C2701">
        <v>-8</v>
      </c>
    </row>
    <row r="2702" spans="1:3" x14ac:dyDescent="0.25">
      <c r="A2702" t="s">
        <v>3277</v>
      </c>
      <c r="B2702" s="44">
        <v>1988.9109999999998</v>
      </c>
      <c r="C2702">
        <v>-8</v>
      </c>
    </row>
    <row r="2703" spans="1:3" x14ac:dyDescent="0.25">
      <c r="A2703" t="s">
        <v>3278</v>
      </c>
      <c r="B2703" s="44">
        <v>2087</v>
      </c>
      <c r="C2703">
        <v>-8</v>
      </c>
    </row>
    <row r="2704" spans="1:3" x14ac:dyDescent="0.25">
      <c r="A2704" t="s">
        <v>3279</v>
      </c>
      <c r="B2704" s="44">
        <v>2548.2270000000003</v>
      </c>
      <c r="C2704">
        <v>-11</v>
      </c>
    </row>
    <row r="2705" spans="1:3" x14ac:dyDescent="0.25">
      <c r="A2705" t="s">
        <v>3280</v>
      </c>
      <c r="B2705" s="44">
        <v>1988.9109999999998</v>
      </c>
      <c r="C2705">
        <v>-8</v>
      </c>
    </row>
    <row r="2706" spans="1:3" x14ac:dyDescent="0.25">
      <c r="A2706" t="s">
        <v>3281</v>
      </c>
      <c r="B2706" s="44">
        <v>2087</v>
      </c>
      <c r="C2706">
        <v>-8</v>
      </c>
    </row>
    <row r="2707" spans="1:3" x14ac:dyDescent="0.25">
      <c r="A2707" t="s">
        <v>3282</v>
      </c>
      <c r="B2707" s="44">
        <v>1892.9090000000001</v>
      </c>
      <c r="C2707">
        <v>-7</v>
      </c>
    </row>
    <row r="2708" spans="1:3" x14ac:dyDescent="0.25">
      <c r="A2708" t="s">
        <v>3283</v>
      </c>
      <c r="B2708" s="44">
        <v>2087</v>
      </c>
      <c r="C2708">
        <v>-8</v>
      </c>
    </row>
    <row r="2709" spans="1:3" x14ac:dyDescent="0.25">
      <c r="A2709" t="s">
        <v>3284</v>
      </c>
      <c r="B2709" s="44">
        <v>2379.1800000000003</v>
      </c>
      <c r="C2709">
        <v>-10</v>
      </c>
    </row>
    <row r="2710" spans="1:3" x14ac:dyDescent="0.25">
      <c r="A2710" t="s">
        <v>3285</v>
      </c>
      <c r="B2710" s="44">
        <v>1988.9109999999998</v>
      </c>
      <c r="C2710">
        <v>-8</v>
      </c>
    </row>
    <row r="2711" spans="1:3" x14ac:dyDescent="0.25">
      <c r="A2711" t="s">
        <v>3286</v>
      </c>
      <c r="B2711" s="44">
        <v>2087</v>
      </c>
      <c r="C2711">
        <v>-8</v>
      </c>
    </row>
    <row r="2712" spans="1:3" x14ac:dyDescent="0.25">
      <c r="A2712" t="s">
        <v>3287</v>
      </c>
      <c r="B2712" s="44">
        <v>2087</v>
      </c>
      <c r="C2712">
        <v>-8</v>
      </c>
    </row>
    <row r="2713" spans="1:3" x14ac:dyDescent="0.25">
      <c r="A2713" t="s">
        <v>3288</v>
      </c>
      <c r="B2713" s="44">
        <v>2790.319</v>
      </c>
      <c r="C2713">
        <v>-11</v>
      </c>
    </row>
    <row r="2714" spans="1:3" x14ac:dyDescent="0.25">
      <c r="A2714" t="s">
        <v>3289</v>
      </c>
      <c r="B2714" s="44">
        <v>2087</v>
      </c>
      <c r="C2714">
        <v>-8</v>
      </c>
    </row>
    <row r="2715" spans="1:3" x14ac:dyDescent="0.25">
      <c r="A2715" t="s">
        <v>3290</v>
      </c>
      <c r="B2715" s="44">
        <v>1988.9109999999998</v>
      </c>
      <c r="C2715">
        <v>-8</v>
      </c>
    </row>
    <row r="2716" spans="1:3" x14ac:dyDescent="0.25">
      <c r="A2716" t="s">
        <v>3291</v>
      </c>
      <c r="B2716" s="44">
        <v>2548.2270000000003</v>
      </c>
      <c r="C2716">
        <v>-11</v>
      </c>
    </row>
    <row r="2717" spans="1:3" x14ac:dyDescent="0.25">
      <c r="A2717" t="s">
        <v>3292</v>
      </c>
      <c r="B2717" s="44">
        <v>2087</v>
      </c>
      <c r="C2717">
        <v>-8</v>
      </c>
    </row>
    <row r="2718" spans="1:3" x14ac:dyDescent="0.25">
      <c r="A2718" t="s">
        <v>3293</v>
      </c>
      <c r="B2718" s="44">
        <v>2087</v>
      </c>
      <c r="C2718">
        <v>-8</v>
      </c>
    </row>
    <row r="2719" spans="1:3" x14ac:dyDescent="0.25">
      <c r="A2719" t="s">
        <v>3294</v>
      </c>
      <c r="B2719" s="44">
        <v>2087</v>
      </c>
      <c r="C2719">
        <v>-8</v>
      </c>
    </row>
    <row r="2720" spans="1:3" x14ac:dyDescent="0.25">
      <c r="A2720" t="s">
        <v>3295</v>
      </c>
      <c r="B2720" s="44">
        <v>1988.9109999999998</v>
      </c>
      <c r="C2720">
        <v>-8</v>
      </c>
    </row>
    <row r="2721" spans="1:3" x14ac:dyDescent="0.25">
      <c r="A2721" t="s">
        <v>3296</v>
      </c>
      <c r="B2721" s="44">
        <v>2087</v>
      </c>
      <c r="C2721">
        <v>-8</v>
      </c>
    </row>
    <row r="2722" spans="1:3" x14ac:dyDescent="0.25">
      <c r="A2722" t="s">
        <v>3297</v>
      </c>
      <c r="B2722" s="44">
        <v>2185.0889999999999</v>
      </c>
      <c r="C2722">
        <v>-8</v>
      </c>
    </row>
    <row r="2723" spans="1:3" x14ac:dyDescent="0.25">
      <c r="A2723" t="s">
        <v>3298</v>
      </c>
      <c r="B2723" s="44">
        <v>1988.9109999999998</v>
      </c>
      <c r="C2723">
        <v>-8</v>
      </c>
    </row>
    <row r="2724" spans="1:3" x14ac:dyDescent="0.25">
      <c r="A2724" t="s">
        <v>3299</v>
      </c>
      <c r="B2724" s="44">
        <v>1988.9109999999998</v>
      </c>
      <c r="C2724">
        <v>-8</v>
      </c>
    </row>
    <row r="2725" spans="1:3" x14ac:dyDescent="0.25">
      <c r="A2725" t="s">
        <v>3300</v>
      </c>
      <c r="B2725" s="44">
        <v>2087</v>
      </c>
      <c r="C2725">
        <v>-8</v>
      </c>
    </row>
    <row r="2726" spans="1:3" x14ac:dyDescent="0.25">
      <c r="A2726" t="s">
        <v>3301</v>
      </c>
      <c r="B2726" s="44">
        <v>2087</v>
      </c>
      <c r="C2726">
        <v>-8</v>
      </c>
    </row>
    <row r="2727" spans="1:3" x14ac:dyDescent="0.25">
      <c r="A2727" t="s">
        <v>3302</v>
      </c>
      <c r="B2727" s="44">
        <v>2185.0889999999999</v>
      </c>
      <c r="C2727">
        <v>-9</v>
      </c>
    </row>
    <row r="2728" spans="1:3" x14ac:dyDescent="0.25">
      <c r="A2728" t="s">
        <v>3303</v>
      </c>
      <c r="B2728" s="44">
        <v>2087</v>
      </c>
      <c r="C2728">
        <v>-8</v>
      </c>
    </row>
    <row r="2729" spans="1:3" x14ac:dyDescent="0.25">
      <c r="A2729" t="s">
        <v>3304</v>
      </c>
      <c r="B2729" s="44">
        <v>1988.9109999999998</v>
      </c>
      <c r="C2729">
        <v>-8</v>
      </c>
    </row>
    <row r="2730" spans="1:3" x14ac:dyDescent="0.25">
      <c r="A2730" t="s">
        <v>3305</v>
      </c>
      <c r="B2730" s="44">
        <v>1892.9090000000001</v>
      </c>
      <c r="C2730">
        <v>-7</v>
      </c>
    </row>
    <row r="2731" spans="1:3" x14ac:dyDescent="0.25">
      <c r="A2731" t="s">
        <v>3306</v>
      </c>
      <c r="B2731" s="44">
        <v>1988.9109999999998</v>
      </c>
      <c r="C2731">
        <v>-8</v>
      </c>
    </row>
    <row r="2732" spans="1:3" x14ac:dyDescent="0.25">
      <c r="A2732" t="s">
        <v>3307</v>
      </c>
      <c r="B2732" s="44">
        <v>1892.9090000000001</v>
      </c>
      <c r="C2732">
        <v>-8</v>
      </c>
    </row>
    <row r="2733" spans="1:3" x14ac:dyDescent="0.25">
      <c r="A2733" t="s">
        <v>3308</v>
      </c>
      <c r="B2733" s="44">
        <v>2087</v>
      </c>
      <c r="C2733">
        <v>-9</v>
      </c>
    </row>
    <row r="2734" spans="1:3" x14ac:dyDescent="0.25">
      <c r="A2734" t="s">
        <v>3309</v>
      </c>
      <c r="B2734" s="44">
        <v>2281.0909999999999</v>
      </c>
      <c r="C2734">
        <v>-10</v>
      </c>
    </row>
    <row r="2735" spans="1:3" x14ac:dyDescent="0.25">
      <c r="A2735" t="s">
        <v>3310</v>
      </c>
      <c r="B2735" s="44">
        <v>2185.0889999999999</v>
      </c>
      <c r="C2735">
        <v>-9</v>
      </c>
    </row>
    <row r="2736" spans="1:3" x14ac:dyDescent="0.25">
      <c r="A2736" t="s">
        <v>3311</v>
      </c>
      <c r="B2736" s="44">
        <v>2379.1800000000003</v>
      </c>
      <c r="C2736">
        <v>-10</v>
      </c>
    </row>
    <row r="2737" spans="1:3" x14ac:dyDescent="0.25">
      <c r="A2737" t="s">
        <v>3312</v>
      </c>
      <c r="B2737" s="44">
        <v>2281.0909999999999</v>
      </c>
      <c r="C2737">
        <v>-9</v>
      </c>
    </row>
    <row r="2738" spans="1:3" x14ac:dyDescent="0.25">
      <c r="A2738" t="s">
        <v>3313</v>
      </c>
      <c r="B2738" s="44">
        <v>2281.0909999999999</v>
      </c>
      <c r="C2738">
        <v>-9</v>
      </c>
    </row>
    <row r="2739" spans="1:3" x14ac:dyDescent="0.25">
      <c r="A2739" t="s">
        <v>3314</v>
      </c>
      <c r="B2739" s="44">
        <v>2281.0909999999999</v>
      </c>
      <c r="C2739">
        <v>-10</v>
      </c>
    </row>
    <row r="2740" spans="1:3" x14ac:dyDescent="0.25">
      <c r="A2740" t="s">
        <v>3315</v>
      </c>
      <c r="B2740" s="44">
        <v>1988.9109999999998</v>
      </c>
      <c r="C2740">
        <v>-8</v>
      </c>
    </row>
    <row r="2741" spans="1:3" x14ac:dyDescent="0.25">
      <c r="A2741" t="s">
        <v>3316</v>
      </c>
      <c r="B2741" s="44">
        <v>2087</v>
      </c>
      <c r="C2741">
        <v>-8</v>
      </c>
    </row>
    <row r="2742" spans="1:3" x14ac:dyDescent="0.25">
      <c r="A2742" t="s">
        <v>3317</v>
      </c>
      <c r="B2742" s="44">
        <v>1988.9109999999998</v>
      </c>
      <c r="C2742">
        <v>-8</v>
      </c>
    </row>
    <row r="2743" spans="1:3" x14ac:dyDescent="0.25">
      <c r="A2743" t="s">
        <v>3318</v>
      </c>
      <c r="B2743" s="44">
        <v>2087</v>
      </c>
      <c r="C2743">
        <v>-9</v>
      </c>
    </row>
    <row r="2744" spans="1:3" x14ac:dyDescent="0.25">
      <c r="A2744" t="s">
        <v>3319</v>
      </c>
      <c r="B2744" s="44">
        <v>1988.9109999999998</v>
      </c>
      <c r="C2744">
        <v>-8</v>
      </c>
    </row>
    <row r="2745" spans="1:3" x14ac:dyDescent="0.25">
      <c r="A2745" t="s">
        <v>3320</v>
      </c>
      <c r="B2745" s="44">
        <v>1892.9090000000001</v>
      </c>
      <c r="C2745">
        <v>-7</v>
      </c>
    </row>
    <row r="2746" spans="1:3" x14ac:dyDescent="0.25">
      <c r="A2746" t="s">
        <v>3320</v>
      </c>
      <c r="B2746" s="44">
        <v>1988.9109999999998</v>
      </c>
      <c r="C2746">
        <v>-8</v>
      </c>
    </row>
    <row r="2747" spans="1:3" x14ac:dyDescent="0.25">
      <c r="A2747" t="s">
        <v>3321</v>
      </c>
      <c r="B2747" s="44">
        <v>2087</v>
      </c>
      <c r="C2747">
        <v>-8</v>
      </c>
    </row>
    <row r="2748" spans="1:3" x14ac:dyDescent="0.25">
      <c r="A2748" t="s">
        <v>3322</v>
      </c>
      <c r="B2748" s="44">
        <v>1988.9109999999998</v>
      </c>
      <c r="C2748">
        <v>-8</v>
      </c>
    </row>
    <row r="2749" spans="1:3" x14ac:dyDescent="0.25">
      <c r="A2749" t="s">
        <v>3323</v>
      </c>
      <c r="B2749" s="44">
        <v>1988.9109999999998</v>
      </c>
      <c r="C2749">
        <v>-8</v>
      </c>
    </row>
    <row r="2750" spans="1:3" x14ac:dyDescent="0.25">
      <c r="A2750" t="s">
        <v>3324</v>
      </c>
      <c r="B2750" s="44">
        <v>2087</v>
      </c>
      <c r="C2750">
        <v>-8</v>
      </c>
    </row>
    <row r="2751" spans="1:3" x14ac:dyDescent="0.25">
      <c r="A2751" t="s">
        <v>3325</v>
      </c>
      <c r="B2751" s="44">
        <v>1988.9109999999998</v>
      </c>
      <c r="C2751">
        <v>-8</v>
      </c>
    </row>
    <row r="2752" spans="1:3" x14ac:dyDescent="0.25">
      <c r="A2752" t="s">
        <v>3326</v>
      </c>
      <c r="B2752" s="44">
        <v>2087</v>
      </c>
      <c r="C2752">
        <v>-8</v>
      </c>
    </row>
    <row r="2753" spans="1:3" x14ac:dyDescent="0.25">
      <c r="A2753" t="s">
        <v>3327</v>
      </c>
      <c r="B2753" s="44">
        <v>1988.9109999999998</v>
      </c>
      <c r="C2753">
        <v>-8</v>
      </c>
    </row>
    <row r="2754" spans="1:3" x14ac:dyDescent="0.25">
      <c r="A2754" t="s">
        <v>3328</v>
      </c>
      <c r="B2754" s="44">
        <v>2087</v>
      </c>
      <c r="C2754">
        <v>-9</v>
      </c>
    </row>
    <row r="2755" spans="1:3" x14ac:dyDescent="0.25">
      <c r="A2755" t="s">
        <v>3329</v>
      </c>
      <c r="B2755" s="44">
        <v>2087</v>
      </c>
      <c r="C2755">
        <v>-8</v>
      </c>
    </row>
    <row r="2756" spans="1:3" x14ac:dyDescent="0.25">
      <c r="A2756" t="s">
        <v>3330</v>
      </c>
      <c r="B2756" s="44">
        <v>1988.9109999999998</v>
      </c>
      <c r="C2756">
        <v>-8</v>
      </c>
    </row>
    <row r="2757" spans="1:3" x14ac:dyDescent="0.25">
      <c r="A2757" t="s">
        <v>3331</v>
      </c>
      <c r="B2757" s="44">
        <v>1988.9109999999998</v>
      </c>
      <c r="C2757">
        <v>-8</v>
      </c>
    </row>
    <row r="2758" spans="1:3" x14ac:dyDescent="0.25">
      <c r="A2758" t="s">
        <v>3332</v>
      </c>
      <c r="B2758" s="44">
        <v>2087</v>
      </c>
      <c r="C2758">
        <v>-8</v>
      </c>
    </row>
    <row r="2759" spans="1:3" x14ac:dyDescent="0.25">
      <c r="A2759" t="s">
        <v>3333</v>
      </c>
      <c r="B2759" s="44">
        <v>1988.9109999999998</v>
      </c>
      <c r="C2759">
        <v>-8</v>
      </c>
    </row>
    <row r="2760" spans="1:3" x14ac:dyDescent="0.25">
      <c r="A2760" t="s">
        <v>3334</v>
      </c>
      <c r="B2760" s="44">
        <v>2087</v>
      </c>
      <c r="C2760">
        <v>-8</v>
      </c>
    </row>
    <row r="2761" spans="1:3" x14ac:dyDescent="0.25">
      <c r="A2761" t="s">
        <v>3335</v>
      </c>
      <c r="B2761" s="44">
        <v>1988.9109999999998</v>
      </c>
      <c r="C2761">
        <v>-8</v>
      </c>
    </row>
    <row r="2762" spans="1:3" x14ac:dyDescent="0.25">
      <c r="A2762" t="s">
        <v>3336</v>
      </c>
      <c r="B2762" s="44">
        <v>1988.9109999999998</v>
      </c>
      <c r="C2762">
        <v>-8</v>
      </c>
    </row>
    <row r="2763" spans="1:3" x14ac:dyDescent="0.25">
      <c r="A2763" t="s">
        <v>3337</v>
      </c>
      <c r="B2763" s="44">
        <v>1988.9109999999998</v>
      </c>
      <c r="C2763">
        <v>-8</v>
      </c>
    </row>
    <row r="2764" spans="1:3" x14ac:dyDescent="0.25">
      <c r="A2764" t="s">
        <v>3338</v>
      </c>
      <c r="B2764" s="44">
        <v>1988.9109999999998</v>
      </c>
      <c r="C2764">
        <v>-8</v>
      </c>
    </row>
    <row r="2765" spans="1:3" x14ac:dyDescent="0.25">
      <c r="A2765" t="s">
        <v>3339</v>
      </c>
      <c r="B2765" s="44">
        <v>2087</v>
      </c>
      <c r="C2765">
        <v>-9</v>
      </c>
    </row>
    <row r="2766" spans="1:3" x14ac:dyDescent="0.25">
      <c r="A2766" t="s">
        <v>3340</v>
      </c>
      <c r="B2766" s="44">
        <v>2185.0889999999999</v>
      </c>
      <c r="C2766">
        <v>-8</v>
      </c>
    </row>
    <row r="2767" spans="1:3" x14ac:dyDescent="0.25">
      <c r="A2767" t="s">
        <v>3341</v>
      </c>
      <c r="B2767" s="44">
        <v>1988.9109999999998</v>
      </c>
      <c r="C2767">
        <v>-8</v>
      </c>
    </row>
    <row r="2768" spans="1:3" x14ac:dyDescent="0.25">
      <c r="A2768" t="s">
        <v>3342</v>
      </c>
      <c r="B2768" s="44">
        <v>1988.9109999999998</v>
      </c>
      <c r="C2768">
        <v>-8</v>
      </c>
    </row>
    <row r="2769" spans="1:3" x14ac:dyDescent="0.25">
      <c r="A2769" t="s">
        <v>3343</v>
      </c>
      <c r="B2769" s="44">
        <v>2087</v>
      </c>
      <c r="C2769">
        <v>-9</v>
      </c>
    </row>
    <row r="2770" spans="1:3" x14ac:dyDescent="0.25">
      <c r="A2770" t="s">
        <v>3344</v>
      </c>
      <c r="B2770" s="44">
        <v>2087</v>
      </c>
      <c r="C2770">
        <v>-9</v>
      </c>
    </row>
    <row r="2771" spans="1:3" x14ac:dyDescent="0.25">
      <c r="A2771" t="s">
        <v>3345</v>
      </c>
      <c r="B2771" s="44">
        <v>2087</v>
      </c>
      <c r="C2771">
        <v>-9</v>
      </c>
    </row>
    <row r="2772" spans="1:3" x14ac:dyDescent="0.25">
      <c r="A2772" t="s">
        <v>3346</v>
      </c>
      <c r="B2772" s="44">
        <v>1988.9109999999998</v>
      </c>
      <c r="C2772">
        <v>-8</v>
      </c>
    </row>
    <row r="2773" spans="1:3" x14ac:dyDescent="0.25">
      <c r="A2773" t="s">
        <v>3347</v>
      </c>
      <c r="B2773" s="44">
        <v>2087</v>
      </c>
      <c r="C2773">
        <v>-9</v>
      </c>
    </row>
    <row r="2774" spans="1:3" x14ac:dyDescent="0.25">
      <c r="A2774" t="s">
        <v>3348</v>
      </c>
      <c r="B2774" s="44">
        <v>1988.9109999999998</v>
      </c>
      <c r="C2774">
        <v>-8</v>
      </c>
    </row>
    <row r="2775" spans="1:3" x14ac:dyDescent="0.25">
      <c r="A2775" t="s">
        <v>3349</v>
      </c>
      <c r="B2775" s="44">
        <v>2087</v>
      </c>
      <c r="C2775">
        <v>-8</v>
      </c>
    </row>
    <row r="2776" spans="1:3" x14ac:dyDescent="0.25">
      <c r="A2776" t="s">
        <v>3350</v>
      </c>
      <c r="B2776" s="44">
        <v>2087</v>
      </c>
      <c r="C2776">
        <v>-8</v>
      </c>
    </row>
    <row r="2777" spans="1:3" x14ac:dyDescent="0.25">
      <c r="A2777" t="s">
        <v>3351</v>
      </c>
      <c r="B2777" s="44">
        <v>1988.9109999999998</v>
      </c>
      <c r="C2777">
        <v>-8</v>
      </c>
    </row>
    <row r="2778" spans="1:3" x14ac:dyDescent="0.25">
      <c r="A2778" t="s">
        <v>3352</v>
      </c>
      <c r="B2778" s="44">
        <v>2087</v>
      </c>
      <c r="C2778">
        <v>-8</v>
      </c>
    </row>
    <row r="2779" spans="1:3" x14ac:dyDescent="0.25">
      <c r="A2779" t="s">
        <v>3353</v>
      </c>
      <c r="B2779" s="44">
        <v>1988.9109999999998</v>
      </c>
      <c r="C2779">
        <v>-8</v>
      </c>
    </row>
    <row r="2780" spans="1:3" x14ac:dyDescent="0.25">
      <c r="A2780" t="s">
        <v>3354</v>
      </c>
      <c r="B2780" s="44">
        <v>1988.9109999999998</v>
      </c>
      <c r="C2780">
        <v>-8</v>
      </c>
    </row>
    <row r="2781" spans="1:3" x14ac:dyDescent="0.25">
      <c r="A2781" t="s">
        <v>3355</v>
      </c>
      <c r="B2781" s="44">
        <v>1988.9109999999998</v>
      </c>
      <c r="C2781">
        <v>-8</v>
      </c>
    </row>
    <row r="2782" spans="1:3" x14ac:dyDescent="0.25">
      <c r="A2782" t="s">
        <v>3356</v>
      </c>
      <c r="B2782" s="44">
        <v>2087</v>
      </c>
      <c r="C2782">
        <v>-8</v>
      </c>
    </row>
    <row r="2783" spans="1:3" x14ac:dyDescent="0.25">
      <c r="A2783" t="s">
        <v>3357</v>
      </c>
      <c r="B2783" s="44">
        <v>2087</v>
      </c>
      <c r="C2783">
        <v>-9</v>
      </c>
    </row>
    <row r="2784" spans="1:3" x14ac:dyDescent="0.25">
      <c r="A2784" t="s">
        <v>3358</v>
      </c>
      <c r="B2784" s="44">
        <v>2087</v>
      </c>
      <c r="C2784">
        <v>-8</v>
      </c>
    </row>
    <row r="2785" spans="1:3" x14ac:dyDescent="0.25">
      <c r="A2785" t="s">
        <v>3359</v>
      </c>
      <c r="B2785" s="44">
        <v>1988.9109999999998</v>
      </c>
      <c r="C2785">
        <v>-8</v>
      </c>
    </row>
    <row r="2786" spans="1:3" x14ac:dyDescent="0.25">
      <c r="A2786" t="s">
        <v>3360</v>
      </c>
      <c r="B2786" s="44">
        <v>1988.9109999999998</v>
      </c>
      <c r="C2786">
        <v>-8</v>
      </c>
    </row>
    <row r="2787" spans="1:3" x14ac:dyDescent="0.25">
      <c r="A2787" t="s">
        <v>3361</v>
      </c>
      <c r="B2787" s="44">
        <v>1988.9109999999998</v>
      </c>
      <c r="C2787">
        <v>-8</v>
      </c>
    </row>
    <row r="2788" spans="1:3" x14ac:dyDescent="0.25">
      <c r="A2788" t="s">
        <v>3362</v>
      </c>
      <c r="B2788" s="44">
        <v>1988.9109999999998</v>
      </c>
      <c r="C2788">
        <v>-8</v>
      </c>
    </row>
    <row r="2789" spans="1:3" x14ac:dyDescent="0.25">
      <c r="A2789" t="s">
        <v>3363</v>
      </c>
      <c r="B2789" s="44">
        <v>2281.0909999999999</v>
      </c>
      <c r="C2789">
        <v>-9</v>
      </c>
    </row>
    <row r="2790" spans="1:3" x14ac:dyDescent="0.25">
      <c r="A2790" t="s">
        <v>3364</v>
      </c>
      <c r="B2790" s="44">
        <v>2087</v>
      </c>
      <c r="C2790">
        <v>-9</v>
      </c>
    </row>
    <row r="2791" spans="1:3" x14ac:dyDescent="0.25">
      <c r="A2791" t="s">
        <v>3365</v>
      </c>
      <c r="B2791" s="44">
        <v>2087</v>
      </c>
      <c r="C2791">
        <v>-8</v>
      </c>
    </row>
    <row r="5572" spans="7:7" x14ac:dyDescent="0.25">
      <c r="G5572" t="s">
        <v>3366</v>
      </c>
    </row>
  </sheetData>
  <phoneticPr fontId="14" type="noConversion"/>
  <pageMargins left="0.78740157499999996" right="0.78740157499999996" top="0.984251969" bottom="0.984251969" header="0.4921259845" footer="0.4921259845"/>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AAECE-3FF8-43E1-85D0-00EFFDFC02E3}">
  <dimension ref="A2:C26"/>
  <sheetViews>
    <sheetView workbookViewId="0">
      <selection activeCell="C27" sqref="C27"/>
    </sheetView>
  </sheetViews>
  <sheetFormatPr baseColWidth="10" defaultColWidth="11.453125" defaultRowHeight="12.5" x14ac:dyDescent="0.25"/>
  <cols>
    <col min="1" max="1" width="11.453125" style="209"/>
  </cols>
  <sheetData>
    <row r="2" spans="1:3" x14ac:dyDescent="0.25">
      <c r="A2" s="209">
        <v>45558</v>
      </c>
      <c r="B2" s="205" t="s">
        <v>3367</v>
      </c>
      <c r="C2" t="s">
        <v>3368</v>
      </c>
    </row>
    <row r="4" spans="1:3" x14ac:dyDescent="0.25">
      <c r="A4" s="209">
        <v>45644</v>
      </c>
      <c r="B4" s="209" t="s">
        <v>3369</v>
      </c>
      <c r="C4" s="10" t="s">
        <v>3370</v>
      </c>
    </row>
    <row r="6" spans="1:3" x14ac:dyDescent="0.25">
      <c r="A6" s="209">
        <v>45645</v>
      </c>
      <c r="B6" s="10" t="s">
        <v>3369</v>
      </c>
      <c r="C6" s="10" t="s">
        <v>3371</v>
      </c>
    </row>
    <row r="8" spans="1:3" x14ac:dyDescent="0.25">
      <c r="A8" s="209">
        <v>45771</v>
      </c>
      <c r="B8" t="s">
        <v>3369</v>
      </c>
      <c r="C8" t="s">
        <v>3372</v>
      </c>
    </row>
    <row r="10" spans="1:3" x14ac:dyDescent="0.25">
      <c r="A10" s="209">
        <v>45771</v>
      </c>
      <c r="B10" t="s">
        <v>3373</v>
      </c>
      <c r="C10" t="s">
        <v>3374</v>
      </c>
    </row>
    <row r="11" spans="1:3" x14ac:dyDescent="0.25">
      <c r="A11" s="209">
        <v>45792</v>
      </c>
      <c r="B11" t="s">
        <v>3373</v>
      </c>
      <c r="C11" s="10" t="s">
        <v>3375</v>
      </c>
    </row>
    <row r="12" spans="1:3" x14ac:dyDescent="0.25">
      <c r="A12" s="209">
        <v>45834</v>
      </c>
      <c r="B12" t="s">
        <v>3373</v>
      </c>
      <c r="C12" s="10" t="s">
        <v>3376</v>
      </c>
    </row>
    <row r="13" spans="1:3" x14ac:dyDescent="0.25">
      <c r="C13" s="10" t="s">
        <v>3377</v>
      </c>
    </row>
    <row r="14" spans="1:3" x14ac:dyDescent="0.25">
      <c r="C14" s="10" t="s">
        <v>3378</v>
      </c>
    </row>
    <row r="15" spans="1:3" x14ac:dyDescent="0.25">
      <c r="A15" s="209">
        <v>45840</v>
      </c>
      <c r="B15" s="10" t="s">
        <v>3373</v>
      </c>
      <c r="C15" s="10" t="s">
        <v>3379</v>
      </c>
    </row>
    <row r="16" spans="1:3" x14ac:dyDescent="0.25">
      <c r="C16" s="10" t="s">
        <v>3380</v>
      </c>
    </row>
    <row r="17" spans="1:3" x14ac:dyDescent="0.25">
      <c r="C17" s="10" t="s">
        <v>3381</v>
      </c>
    </row>
    <row r="19" spans="1:3" x14ac:dyDescent="0.25">
      <c r="A19" s="209">
        <v>45854</v>
      </c>
      <c r="B19" t="s">
        <v>3382</v>
      </c>
      <c r="C19" t="s">
        <v>3383</v>
      </c>
    </row>
    <row r="20" spans="1:3" x14ac:dyDescent="0.25">
      <c r="A20" s="209">
        <v>45894</v>
      </c>
      <c r="B20" t="s">
        <v>3382</v>
      </c>
      <c r="C20" t="s">
        <v>3384</v>
      </c>
    </row>
    <row r="21" spans="1:3" x14ac:dyDescent="0.25">
      <c r="A21" s="209">
        <v>45940</v>
      </c>
      <c r="B21" t="s">
        <v>3382</v>
      </c>
      <c r="C21" t="s">
        <v>3385</v>
      </c>
    </row>
    <row r="22" spans="1:3" x14ac:dyDescent="0.25">
      <c r="A22" s="209">
        <v>46006</v>
      </c>
      <c r="B22" t="s">
        <v>3386</v>
      </c>
      <c r="C22" t="s">
        <v>3387</v>
      </c>
    </row>
    <row r="23" spans="1:3" x14ac:dyDescent="0.25">
      <c r="A23" s="209">
        <v>45676</v>
      </c>
      <c r="B23" t="s">
        <v>3386</v>
      </c>
      <c r="C23" t="s">
        <v>3388</v>
      </c>
    </row>
    <row r="24" spans="1:3" x14ac:dyDescent="0.25">
      <c r="A24" s="209">
        <v>46163</v>
      </c>
      <c r="B24" t="s">
        <v>3389</v>
      </c>
      <c r="C24" t="s">
        <v>3390</v>
      </c>
    </row>
    <row r="25" spans="1:3" x14ac:dyDescent="0.25">
      <c r="A25" s="209">
        <v>46178</v>
      </c>
      <c r="B25" s="10" t="s">
        <v>3391</v>
      </c>
      <c r="C25" s="10" t="s">
        <v>3392</v>
      </c>
    </row>
    <row r="26" spans="1:3" x14ac:dyDescent="0.25">
      <c r="A26" s="209">
        <v>46196</v>
      </c>
      <c r="B26" t="s">
        <v>3391</v>
      </c>
      <c r="C26" t="s">
        <v>3393</v>
      </c>
    </row>
  </sheetData>
  <phoneticPr fontId="11"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9A30B0DD667CC48935FDBE2498A1710" ma:contentTypeVersion="14" ma:contentTypeDescription="Crée un document." ma:contentTypeScope="" ma:versionID="6b18949aa7c9b0522a58cee2c8930ff9">
  <xsd:schema xmlns:xsd="http://www.w3.org/2001/XMLSchema" xmlns:xs="http://www.w3.org/2001/XMLSchema" xmlns:p="http://schemas.microsoft.com/office/2006/metadata/properties" xmlns:ns2="6934da32-bdcd-4ecf-bbc6-8c217e45e4dd" xmlns:ns3="f49b8509-fb38-4ba6-b181-380e21ab5f25" targetNamespace="http://schemas.microsoft.com/office/2006/metadata/properties" ma:root="true" ma:fieldsID="807b8a66e66a23eed377016f1cdf38f3" ns2:_="" ns3:_="">
    <xsd:import namespace="6934da32-bdcd-4ecf-bbc6-8c217e45e4dd"/>
    <xsd:import namespace="f49b8509-fb38-4ba6-b181-380e21ab5f2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34da32-bdcd-4ecf-bbc6-8c217e45e4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3438a966-6778-473b-9899-d8937507f58c"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49b8509-fb38-4ba6-b181-380e21ab5f25"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deb2d961-896a-4d00-b73e-3e8a84986382}" ma:internalName="TaxCatchAll" ma:showField="CatchAllData" ma:web="f49b8509-fb38-4ba6-b181-380e21ab5f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f49b8509-fb38-4ba6-b181-380e21ab5f25">
      <UserInfo>
        <DisplayName>Pierre Demesmaecker</DisplayName>
        <AccountId>6</AccountId>
        <AccountType/>
      </UserInfo>
      <UserInfo>
        <DisplayName>Emmanuel Hecquet</DisplayName>
        <AccountId>35</AccountId>
        <AccountType/>
      </UserInfo>
    </SharedWithUsers>
    <lcf76f155ced4ddcb4097134ff3c332f xmlns="6934da32-bdcd-4ecf-bbc6-8c217e45e4dd">
      <Terms xmlns="http://schemas.microsoft.com/office/infopath/2007/PartnerControls"/>
    </lcf76f155ced4ddcb4097134ff3c332f>
    <TaxCatchAll xmlns="f49b8509-fb38-4ba6-b181-380e21ab5f2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AB6DD8-6CD7-4341-B4C3-779E32129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34da32-bdcd-4ecf-bbc6-8c217e45e4dd"/>
    <ds:schemaRef ds:uri="f49b8509-fb38-4ba6-b181-380e21ab5f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75DD65-2B14-409D-BE7F-64EB9AEB8396}">
  <ds:schemaRefs>
    <ds:schemaRef ds:uri="6934da32-bdcd-4ecf-bbc6-8c217e45e4dd"/>
    <ds:schemaRef ds:uri="http://purl.org/dc/elements/1.1/"/>
    <ds:schemaRef ds:uri="f49b8509-fb38-4ba6-b181-380e21ab5f25"/>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40969EBC-ECD3-43C9-957B-27A2921038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18</vt:i4>
      </vt:variant>
    </vt:vector>
  </HeadingPairs>
  <TitlesOfParts>
    <vt:vector size="27" baseType="lpstr">
      <vt:lpstr>Mode d'emploi</vt:lpstr>
      <vt:lpstr>Situation initiale</vt:lpstr>
      <vt:lpstr>Situation rénovée</vt:lpstr>
      <vt:lpstr>U_sol</vt:lpstr>
      <vt:lpstr>Calculs_U_sol</vt:lpstr>
      <vt:lpstr>Données</vt:lpstr>
      <vt:lpstr>Parois types</vt:lpstr>
      <vt:lpstr>Liste des communes</vt:lpstr>
      <vt:lpstr>Màj</vt:lpstr>
      <vt:lpstr>conso_init</vt:lpstr>
      <vt:lpstr>conso_reno</vt:lpstr>
      <vt:lpstr>cout_elec</vt:lpstr>
      <vt:lpstr>cout_vect</vt:lpstr>
      <vt:lpstr>cout_vect_init</vt:lpstr>
      <vt:lpstr>cout_vect_reno</vt:lpstr>
      <vt:lpstr>deperd_init</vt:lpstr>
      <vt:lpstr>deperd_reno</vt:lpstr>
      <vt:lpstr>duree_chauf</vt:lpstr>
      <vt:lpstr>pertes_chau_init</vt:lpstr>
      <vt:lpstr>pertes_chau_reno</vt:lpstr>
      <vt:lpstr>reduc_vitre</vt:lpstr>
      <vt:lpstr>Temp_ext</vt:lpstr>
      <vt:lpstr>Temp_SI</vt:lpstr>
      <vt:lpstr>Temp_SI_ext</vt:lpstr>
      <vt:lpstr>Temp_SR</vt:lpstr>
      <vt:lpstr>'Situation initiale'!Zone_d_impression</vt:lpstr>
      <vt:lpstr>'Situation rénovée'!Zone_d_impression</vt:lpstr>
    </vt:vector>
  </TitlesOfParts>
  <Manager/>
  <Company>UCL - Architecture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climat14</dc:creator>
  <cp:keywords/>
  <dc:description/>
  <cp:lastModifiedBy>Pierre DEMESMAECKER</cp:lastModifiedBy>
  <cp:revision/>
  <dcterms:created xsi:type="dcterms:W3CDTF">2001-06-22T09:14:21Z</dcterms:created>
  <dcterms:modified xsi:type="dcterms:W3CDTF">2026-07-10T15:38:56Z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0x01010009A30B0DD667CC48935FDBE2498A1710</vt:lpwstr>
  </property>
  <property fmtid="{D5CDD505-2E9C-101B-9397-08002B2CF9AE}" pid="3" name="MediaServiceImageTags">
    <vt:lpwstr/>
  </property>
</Properties>
</file>